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65476" windowWidth="10140" windowHeight="8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<sst xmlns="http://schemas.openxmlformats.org/spreadsheetml/2006/main" count="233" uniqueCount="212">
  <si>
    <t>Додаток 2</t>
  </si>
  <si>
    <t>до рішення районної ради</t>
  </si>
  <si>
    <t>Видатки районного бюджету Павлоградського району на 2012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</si>
  <si>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</si>
  <si>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</si>
  <si>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</si>
  <si>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</si>
  <si>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</si>
  <si>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</si>
  <si>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</si>
  <si>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</si>
  <si>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</si>
  <si>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</si>
  <si>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</si>
  <si>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</si>
  <si>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</si>
  <si>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</si>
  <si>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</si>
  <si>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</si>
  <si>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</si>
  <si>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</si>
  <si>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</si>
  <si>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</si>
  <si>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 xml:space="preserve">в тому числі за рахунок додаткової дотації з державного бюджету на вирівнювання фінансової забезпеченості місцевих бюджетів </t>
  </si>
  <si>
    <t>в тому числі за рахунок додаткової дотації з державного бюджету  місцевим бюджетам на оплату праці працівників бюджетних установ</t>
  </si>
  <si>
    <t>070000</t>
  </si>
  <si>
    <t>Освіта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</si>
  <si>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</si>
  <si>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</si>
  <si>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в тому числі за рахунок додаткової дотації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</si>
  <si>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 xml:space="preserve">в тому числі за рахунок субвенції з обласного бюджету місцевим бюджетам на фінансування обласного конкурсу „Ярмарок ідей 2011” </t>
  </si>
  <si>
    <t>в тому числі за рахунок субвенції з обласного бюджету місцевим бюджетам на придбання проекторів для мультимедійних дошок</t>
  </si>
  <si>
    <t>в тому числі за рахунок субвенції з обласного бюджету місцевим бюджетам на придбання ноутбуків молодим вчителям</t>
  </si>
  <si>
    <t>070303</t>
  </si>
  <si>
    <t>Дитячі будинки (в т. ч. сімейного типу, прийомні сім`ї) </t>
  </si>
  <si>
    <t>в тому числі за рахунок субвенції 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</si>
  <si>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</si>
  <si>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</si>
  <si>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</si>
  <si>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</si>
  <si>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</si>
  <si>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</si>
  <si>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</si>
  <si>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</si>
  <si>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 xml:space="preserve">Субвенція з Богуславської сільської ради районному бюджету на виконання програми розвитку та ефективного управління об'єктами спільної власності територіальних громад (комунальної власності) Павлоградського району на 2011-2013 роки  </t>
  </si>
  <si>
    <t>070808</t>
  </si>
  <si>
    <t>Допомога дітям-сиротам та дітям, позбавленим батьківського піклування, яким виповнюється 18 років </t>
  </si>
  <si>
    <t>080000</t>
  </si>
  <si>
    <t>Охорона здоров`я </t>
  </si>
  <si>
    <t>080800</t>
  </si>
  <si>
    <t>Центри первинної медичної (медико-санітарної) допомоги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</si>
  <si>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</si>
  <si>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</si>
  <si>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</si>
  <si>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</si>
  <si>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</si>
  <si>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</si>
  <si>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</si>
  <si>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</si>
  <si>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</si>
  <si>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</si>
  <si>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</si>
  <si>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</si>
  <si>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</si>
  <si>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</si>
  <si>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</si>
  <si>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</si>
  <si>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</si>
  <si>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</si>
  <si>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090211</t>
  </si>
  <si>
    <t>090214</t>
  </si>
  <si>
    <t>Пільги окремим категоріям громадян з послуг зв`язку 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</si>
  <si>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</si>
  <si>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</si>
  <si>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</si>
  <si>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</si>
  <si>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</si>
  <si>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</si>
  <si>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</si>
  <si>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</si>
  <si>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</si>
  <si>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</si>
  <si>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090305</t>
  </si>
  <si>
    <t>Допомога на дітей, над якими встановлено опіку чи піклування </t>
  </si>
  <si>
    <t>090306</t>
  </si>
  <si>
    <t>Допомога на дітей одиноким матерям </t>
  </si>
  <si>
    <t>090307</t>
  </si>
  <si>
    <t>Тимчасова державна допомога дітям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</si>
  <si>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</si>
  <si>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</si>
  <si>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</si>
  <si>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</si>
  <si>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</si>
  <si>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</si>
  <si>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</si>
  <si>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</si>
  <si>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</si>
  <si>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</si>
  <si>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в тому числі за рахунок обласної субвенції „На виконання обласної міжгалузевої комплексної програми „Здоров’я нації на 2002-2011 роки” та соціальний захист населення у 2011 році</t>
  </si>
  <si>
    <t>090416</t>
  </si>
  <si>
    <t>Інші видатки на соціальний захист ветеранів війни та праці </t>
  </si>
  <si>
    <t xml:space="preserve">в тому числі за рахунок субвенції з Богданівської сільської ради районному бюджету на виконання районної програми соціального захисту та підтримки найменш захищених та малозабезпечених громадян Павлоградського району на 2011-2014 </t>
  </si>
  <si>
    <t>090802</t>
  </si>
  <si>
    <t>Інші програми соціального захисту дітей </t>
  </si>
  <si>
    <t>091101</t>
  </si>
  <si>
    <t>Утримання центрів соціальних служб для сім`ї, дітей та молоді </t>
  </si>
  <si>
    <t>в тому числі за рахунок додаткової дотації з державного бюджету  місцевим бюджетам на покращення надання соціальних послуг найуразливішим верствам населення</t>
  </si>
  <si>
    <t>091102</t>
  </si>
  <si>
    <t>Програми і заходи центрів соціальних служб для сім`ї, дітей та молоді </t>
  </si>
  <si>
    <t>091103</t>
  </si>
  <si>
    <t>Соціальні програми і заходи державних органів у справах молоді </t>
  </si>
  <si>
    <t>091104</t>
  </si>
  <si>
    <t>Соціальні програми і заходи державних органів з питань забезпечення рівних прав та можливостей жінок і чоловіків </t>
  </si>
  <si>
    <t>091107</t>
  </si>
  <si>
    <t>Соціальні програми і заходи державних органів у справах сім`ї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</si>
  <si>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</si>
  <si>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</si>
  <si>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091204</t>
  </si>
  <si>
    <t>Територіальні центри соціального обслуговування (надання соціальних послуг) 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</si>
  <si>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</si>
  <si>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 </t>
  </si>
  <si>
    <t>091209</t>
  </si>
  <si>
    <t>Фінансова підтримка громадських організацій інвалідів і ветеранів </t>
  </si>
  <si>
    <t>091300</t>
  </si>
  <si>
    <t>Державна соціальна допомога інвалідам з дитинства та дітям-інвалідам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</si>
  <si>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</si>
  <si>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</si>
  <si>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</si>
  <si>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</si>
  <si>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 xml:space="preserve">в тому числі за рахунок субвенції з Межиріцької сільської ради районному бюджету на виконання програми розвитку культури Павлоградського району на 2011-2015 роки </t>
  </si>
  <si>
    <t>110201</t>
  </si>
  <si>
    <t>Бібліотеки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</si>
  <si>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</si>
  <si>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</si>
  <si>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</si>
  <si>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</si>
  <si>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</si>
  <si>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</si>
  <si>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120100</t>
  </si>
  <si>
    <t>Телебачення і радіомовлення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</si>
  <si>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</si>
  <si>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</si>
  <si>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</si>
  <si>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</si>
  <si>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</si>
  <si>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</si>
  <si>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130106</t>
  </si>
  <si>
    <t>Проведення навчально-тренувальних зборів і змагань з неолімпійських видів спорту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</si>
  <si>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</si>
  <si>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</si>
  <si>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</si>
  <si>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</si>
  <si>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</si>
  <si>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</si>
  <si>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</si>
  <si>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 xml:space="preserve">в тому числі за рахунок субвенції з Богуславської сільської ради районному  бюджету на виконання програми соціально-економічного та культурного розвитку Павлоградського району на 2012 рік </t>
  </si>
  <si>
    <t>Розробка схем та проектних рішень масового застосування </t>
  </si>
  <si>
    <t xml:space="preserve">в тому числі за рахунок субвенції з обласного бюджету місцевим бюджетам на розробку схем та проектних рішень масового застосування 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</si>
  <si>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</si>
  <si>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</si>
  <si>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</si>
  <si>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</si>
  <si>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170901</t>
  </si>
  <si>
    <t>Національна програма інформатизації </t>
  </si>
  <si>
    <t>в тому числі за рахунок субвенції з Богданівської сільської ради районному бюджету на виконання Програми інформатизації "Електронна Павлоградщина" на 2010-2014р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</si>
  <si>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</si>
  <si>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</si>
  <si>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</si>
  <si>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</si>
  <si>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Інші заходи, пов’язані з економічною діяльністю</t>
  </si>
  <si>
    <t>240000</t>
  </si>
  <si>
    <t>Цільові фонди </t>
  </si>
  <si>
    <t xml:space="preserve">Охорона та раціональне використання природних ресурсів 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</si>
  <si>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</si>
  <si>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</si>
  <si>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</si>
  <si>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</si>
  <si>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</si>
  <si>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</si>
  <si>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</si>
  <si>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Між бюджетні трансферти</t>
  </si>
  <si>
    <t>250301</t>
  </si>
  <si>
    <t>Кошти, що передаються до державного бюджету з бюджету Автономної Республіки Крим, обласних і районних бюджетів, міських (міст Києва та Севастополя, міст республіканського Автономної Республіки Крим та обласного значення) бюджетів, інших бюджетів місцевого</t>
  </si>
  <si>
    <t>250310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</si>
  <si>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суб`єктам космічної діяльності та суб`єктам літакобудування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</si>
  <si>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</si>
  <si>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</si>
  <si>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Додаткової дотації з державного бюджету на вирівнювання фінансової забезпеченості місцевих бюджетів</t>
  </si>
  <si>
    <t>250315</t>
  </si>
  <si>
    <t>Інші додаткові дотації </t>
  </si>
  <si>
    <t>Додаткова дотація з державного бюджету  місцевим бюджетам на оплату праці працівників бюджетних установ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</si>
  <si>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</si>
  <si>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</si>
  <si>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 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</si>
  <si>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</si>
  <si>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</si>
  <si>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</si>
  <si>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</si>
  <si>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 тому числі за рахунок субвенції з обласного бюджету на електротеплозабезпечення населених пунктів</t>
  </si>
  <si>
    <t>в тому числі за рахунок субвенції з обласного бюджету на соціально-економічний розвиток регіону в 2012 році</t>
  </si>
  <si>
    <t>в тому числі за рахунок субвенції з обласного бюджету місцевим бюджетам на облаштування спортивно-дитячих майданчиків</t>
  </si>
  <si>
    <t>в тому числі за рахунок субвенції з обласного бюджету місцевим бюджетам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ЄС/ПРООН “Місцевий розвиток, орієнтований на громаду, ІІ фаза”</t>
  </si>
  <si>
    <t xml:space="preserve">в тому числі за рахунок субвенції з обласного бюджету місцевим бюджетам на співфінансування органів місцевого самоврядування області - учасників спільного Проекту Дніпропетровської обласної ради та Фонду Східна Європа </t>
  </si>
  <si>
    <t xml:space="preserve">в тому числі за рахунок субвенції з обласного бюджету місцевим бюджетам на збереження пам’яток Великої Вітчизняної війни </t>
  </si>
  <si>
    <t xml:space="preserve">в тому числі за рахунок субвенції з обласного бюджету місцевим бюджетам на фінансування переможців обласного конкурсу проектів і програм розвитку місцевого самоврядування 2011 року </t>
  </si>
  <si>
    <t>в тому числі за рахунок субвенції з обласного бюджету місцевим бюджетам на природоохоронні заходи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</si>
  <si>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</si>
  <si>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</si>
  <si>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</si>
  <si>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Всього видатків</t>
  </si>
  <si>
    <t>Н.Гримайло</t>
  </si>
  <si>
    <t>В.о. голови районної ради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</si>
</sst>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zoomScaleSheetLayoutView="100" workbookViewId="0" topLeftCell="A1">
      <pane xSplit="2" ySplit="12" topLeftCell="C113" activePane="bottomRight" state="frozen"/>
      <selection pane="topLeft" activeCell="A1" sqref="A1"/>
      <selection pane="topRight" activeCell="C1" sqref="C1"/>
      <selection pane="bottomLeft" activeCell="A136" sqref="A136"/>
      <selection pane="bottomRight" activeCell="D141" sqref="D141"/>
    </sheetView>
  </sheetViews>
  <sheetFormatPr defaultColWidth="9.140625" defaultRowHeight="12.75"/>
  <cols>
    <col min="1" max="1" width="9.28125" style="1" customWidth="1"/>
    <col min="2" max="2" width="39.00390625" style="1" customWidth="1"/>
    <col min="3" max="4" width="16.8515625" style="1" customWidth="1"/>
    <col min="5" max="5" width="11.00390625" style="1" customWidth="1"/>
    <col min="6" max="6" width="14.00390625" style="1" customWidth="1"/>
    <col min="7" max="7" width="10.8515625" style="1" customWidth="1"/>
    <col min="8" max="8" width="9.421875" style="1" customWidth="1"/>
    <col min="9" max="9" width="11.00390625" style="1" customWidth="1"/>
    <col min="10" max="10" width="14.00390625" style="1" customWidth="1"/>
    <col min="11" max="11" width="10.28125" style="1" customWidth="1"/>
    <col min="12" max="12" width="15.7109375" style="1" customWidth="1"/>
    <col min="13" max="13" width="16.8515625" style="1" customWidth="1"/>
  </cols>
  <sheetData>
    <row r="1" ht="12.75">
      <c r="K1" s="1" t="s">
        <v>0</v>
      </c>
    </row>
    <row r="2" ht="15">
      <c r="K2" s="2" t="s">
        <v>1</v>
      </c>
    </row>
    <row r="3" ht="15.75">
      <c r="K3" s="3"/>
    </row>
    <row r="4" ht="15">
      <c r="K4" s="2"/>
    </row>
    <row r="5" spans="1:13" ht="12.7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ht="12.75">
      <c r="M7" s="4" t="s">
        <v>4</v>
      </c>
    </row>
    <row r="8" spans="1:13" ht="12.75" customHeight="1">
      <c r="A8" s="49" t="s">
        <v>5</v>
      </c>
      <c r="B8" s="48" t="s">
        <v>6</v>
      </c>
      <c r="C8" s="48" t="s">
        <v>7</v>
      </c>
      <c r="D8" s="48"/>
      <c r="E8" s="48"/>
      <c r="F8" s="48" t="s">
        <v>8</v>
      </c>
      <c r="G8" s="48"/>
      <c r="H8" s="48"/>
      <c r="I8" s="48"/>
      <c r="J8" s="48"/>
      <c r="K8" s="48"/>
      <c r="L8" s="48"/>
      <c r="M8" s="51" t="s">
        <v>9</v>
      </c>
    </row>
    <row r="9" spans="1:13" ht="12.75" customHeight="1">
      <c r="A9" s="49"/>
      <c r="B9" s="49"/>
      <c r="C9" s="48" t="s">
        <v>10</v>
      </c>
      <c r="D9" s="48" t="s">
        <v>11</v>
      </c>
      <c r="E9" s="48"/>
      <c r="F9" s="48" t="s">
        <v>10</v>
      </c>
      <c r="G9" s="48" t="s">
        <v>12</v>
      </c>
      <c r="H9" s="48" t="s">
        <v>11</v>
      </c>
      <c r="I9" s="48"/>
      <c r="J9" s="48" t="s">
        <v>13</v>
      </c>
      <c r="K9" s="48" t="s">
        <v>11</v>
      </c>
      <c r="L9" s="48"/>
      <c r="M9" s="51"/>
    </row>
    <row r="10" spans="1:13" ht="47.25" customHeight="1">
      <c r="A10" s="49"/>
      <c r="B10" s="49"/>
      <c r="C10" s="49"/>
      <c r="D10" s="48" t="s">
        <v>14</v>
      </c>
      <c r="E10" s="48" t="s">
        <v>15</v>
      </c>
      <c r="F10" s="48"/>
      <c r="G10" s="48"/>
      <c r="H10" s="48" t="s">
        <v>14</v>
      </c>
      <c r="I10" s="48" t="s">
        <v>15</v>
      </c>
      <c r="J10" s="48"/>
      <c r="K10" s="48" t="s">
        <v>16</v>
      </c>
      <c r="L10" s="49" t="s">
        <v>17</v>
      </c>
      <c r="M10" s="51"/>
    </row>
    <row r="11" spans="1:13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1"/>
    </row>
    <row r="12" spans="1:13" s="8" customFormat="1" ht="12.75">
      <c r="A12" s="5">
        <v>1</v>
      </c>
      <c r="B12" s="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6" t="s">
        <v>18</v>
      </c>
    </row>
    <row r="13" spans="1:13" s="8" customFormat="1" ht="12.75">
      <c r="A13" s="9" t="s">
        <v>19</v>
      </c>
      <c r="B13" s="10" t="s">
        <v>20</v>
      </c>
      <c r="C13" s="11">
        <f>C14</f>
        <v>1150777</v>
      </c>
      <c r="D13" s="11">
        <f aca="true" t="shared" si="0" ref="D13:L13">D14</f>
        <v>746299</v>
      </c>
      <c r="E13" s="11">
        <f t="shared" si="0"/>
        <v>102316</v>
      </c>
      <c r="F13" s="11">
        <f t="shared" si="0"/>
        <v>306100</v>
      </c>
      <c r="G13" s="11">
        <f t="shared" si="0"/>
        <v>300900</v>
      </c>
      <c r="H13" s="11">
        <f t="shared" si="0"/>
        <v>0</v>
      </c>
      <c r="I13" s="11">
        <f t="shared" si="0"/>
        <v>67100</v>
      </c>
      <c r="J13" s="11">
        <f t="shared" si="0"/>
        <v>5200</v>
      </c>
      <c r="K13" s="11">
        <f t="shared" si="0"/>
        <v>0</v>
      </c>
      <c r="L13" s="11">
        <f t="shared" si="0"/>
        <v>0</v>
      </c>
      <c r="M13" s="12">
        <f aca="true" t="shared" si="1" ref="M13:M57">C13+F13</f>
        <v>1456877</v>
      </c>
    </row>
    <row r="14" spans="1:13" s="8" customFormat="1" ht="16.5" customHeight="1">
      <c r="A14" s="13" t="s">
        <v>21</v>
      </c>
      <c r="B14" s="14" t="s">
        <v>22</v>
      </c>
      <c r="C14" s="15">
        <f>780000+9648+6+2307+61335+26354+48000+32500+77257+84970+28400</f>
        <v>1150777</v>
      </c>
      <c r="D14" s="15">
        <f>527238+45000+17254+30000+23800+38137+62033+2837</f>
        <v>746299</v>
      </c>
      <c r="E14" s="15">
        <f>45196+28720+28400</f>
        <v>102316</v>
      </c>
      <c r="F14" s="15">
        <f>G14+J14</f>
        <v>306100</v>
      </c>
      <c r="G14" s="15">
        <f>250900+50000</f>
        <v>300900</v>
      </c>
      <c r="H14" s="15">
        <v>0</v>
      </c>
      <c r="I14" s="15">
        <v>67100</v>
      </c>
      <c r="J14" s="15">
        <v>5200</v>
      </c>
      <c r="K14" s="15">
        <v>0</v>
      </c>
      <c r="L14" s="15"/>
      <c r="M14" s="16">
        <f t="shared" si="1"/>
        <v>1456877</v>
      </c>
    </row>
    <row r="15" spans="1:13" s="8" customFormat="1" ht="51">
      <c r="A15" s="17"/>
      <c r="B15" s="14" t="s">
        <v>23</v>
      </c>
      <c r="C15" s="15">
        <f>61335+26354+32500+84970</f>
        <v>205159</v>
      </c>
      <c r="D15" s="15">
        <f>45000+17254+23800+62033</f>
        <v>148087</v>
      </c>
      <c r="E15" s="15"/>
      <c r="F15" s="15">
        <v>0</v>
      </c>
      <c r="G15" s="15"/>
      <c r="H15" s="15"/>
      <c r="I15" s="15"/>
      <c r="J15" s="15"/>
      <c r="K15" s="15"/>
      <c r="L15" s="15"/>
      <c r="M15" s="16">
        <f t="shared" si="1"/>
        <v>205159</v>
      </c>
    </row>
    <row r="16" spans="1:13" s="8" customFormat="1" ht="51">
      <c r="A16" s="17"/>
      <c r="B16" s="14" t="s">
        <v>24</v>
      </c>
      <c r="C16" s="15">
        <v>48000</v>
      </c>
      <c r="D16" s="15">
        <v>30000</v>
      </c>
      <c r="E16" s="15"/>
      <c r="F16" s="15"/>
      <c r="G16" s="15"/>
      <c r="H16" s="15"/>
      <c r="I16" s="15"/>
      <c r="J16" s="15"/>
      <c r="K16" s="15"/>
      <c r="L16" s="15"/>
      <c r="M16" s="16">
        <f t="shared" si="1"/>
        <v>48000</v>
      </c>
    </row>
    <row r="17" spans="1:13" s="8" customFormat="1" ht="12.75">
      <c r="A17" s="9" t="s">
        <v>25</v>
      </c>
      <c r="B17" s="10" t="s">
        <v>26</v>
      </c>
      <c r="C17" s="11">
        <f aca="true" t="shared" si="2" ref="C17:L17">C18+C25+C28+C30+C32+C34+C37</f>
        <v>35894459</v>
      </c>
      <c r="D17" s="11">
        <f t="shared" si="2"/>
        <v>19828329</v>
      </c>
      <c r="E17" s="11">
        <f t="shared" si="2"/>
        <v>5544457</v>
      </c>
      <c r="F17" s="11">
        <f t="shared" si="2"/>
        <v>983330.34</v>
      </c>
      <c r="G17" s="11">
        <f t="shared" si="2"/>
        <v>482791.33999999997</v>
      </c>
      <c r="H17" s="11">
        <f t="shared" si="2"/>
        <v>0</v>
      </c>
      <c r="I17" s="11">
        <f t="shared" si="2"/>
        <v>0</v>
      </c>
      <c r="J17" s="11">
        <f t="shared" si="2"/>
        <v>500539</v>
      </c>
      <c r="K17" s="11">
        <f t="shared" si="2"/>
        <v>333319</v>
      </c>
      <c r="L17" s="11">
        <f t="shared" si="2"/>
        <v>191319</v>
      </c>
      <c r="M17" s="12">
        <f t="shared" si="1"/>
        <v>36877789.34</v>
      </c>
    </row>
    <row r="18" spans="1:13" s="8" customFormat="1" ht="51">
      <c r="A18" s="17" t="s">
        <v>27</v>
      </c>
      <c r="B18" s="14" t="s">
        <v>28</v>
      </c>
      <c r="C18" s="15">
        <f>24386247+567700-280053+23000-36300+650378-234043+4400-35000+42040+250000+350000+1338100+221532+591500-3620+1413208+97200+1543090+280525</f>
        <v>31169904</v>
      </c>
      <c r="D18" s="15">
        <f>12619635+416500-235800-26600+475770-146211+315000+973100+441500+1029623+1132130+360870</f>
        <v>17355517</v>
      </c>
      <c r="E18" s="15">
        <f>4738933+5000+28000+250000+230590-68800</f>
        <v>5183723</v>
      </c>
      <c r="F18" s="15">
        <f>G18+J18</f>
        <v>925550.98</v>
      </c>
      <c r="G18" s="15">
        <f>216263.55+159011.53-94448+178192.9</f>
        <v>459019.98</v>
      </c>
      <c r="H18" s="15">
        <v>0</v>
      </c>
      <c r="I18" s="15">
        <v>0</v>
      </c>
      <c r="J18" s="15">
        <f>172477+8000+4000+39721+35000+150000+94448-97200+60085</f>
        <v>466531</v>
      </c>
      <c r="K18" s="15">
        <f>2096+7702+K22+39000+15000+8000+4000+39721+35000+150000-97200</f>
        <v>303319</v>
      </c>
      <c r="L18" s="15">
        <f>2096+7702+39000+15000+39721+35000+150000-97200</f>
        <v>191319</v>
      </c>
      <c r="M18" s="16">
        <f t="shared" si="1"/>
        <v>32095454.98</v>
      </c>
    </row>
    <row r="19" spans="1:13" s="8" customFormat="1" ht="51">
      <c r="A19" s="17"/>
      <c r="B19" s="14" t="s">
        <v>23</v>
      </c>
      <c r="C19" s="15">
        <f>567700-280053-36300+650378-234043+250000+350000+591500+1413208+1543090</f>
        <v>4815480</v>
      </c>
      <c r="D19" s="15">
        <f>416500-235800-26600+475770-146211+183400+315000+441500+1029623+1132130</f>
        <v>3585312</v>
      </c>
      <c r="E19" s="15"/>
      <c r="F19" s="15">
        <v>0</v>
      </c>
      <c r="G19" s="15"/>
      <c r="H19" s="15"/>
      <c r="I19" s="15"/>
      <c r="J19" s="15"/>
      <c r="K19" s="15"/>
      <c r="L19" s="15"/>
      <c r="M19" s="16">
        <f t="shared" si="1"/>
        <v>4815480</v>
      </c>
    </row>
    <row r="20" spans="1:13" s="8" customFormat="1" ht="51">
      <c r="A20" s="17"/>
      <c r="B20" s="14" t="s">
        <v>24</v>
      </c>
      <c r="C20" s="15">
        <v>1338100</v>
      </c>
      <c r="D20" s="15">
        <v>973100</v>
      </c>
      <c r="E20" s="15"/>
      <c r="F20" s="15"/>
      <c r="G20" s="15"/>
      <c r="H20" s="15"/>
      <c r="I20" s="15"/>
      <c r="J20" s="15"/>
      <c r="K20" s="15"/>
      <c r="L20" s="15"/>
      <c r="M20" s="16">
        <f t="shared" si="1"/>
        <v>1338100</v>
      </c>
    </row>
    <row r="21" spans="1:13" s="8" customFormat="1" ht="89.25">
      <c r="A21" s="17"/>
      <c r="B21" s="14" t="s">
        <v>29</v>
      </c>
      <c r="C21" s="15">
        <f>23000+97200</f>
        <v>120200</v>
      </c>
      <c r="D21" s="15"/>
      <c r="E21" s="15"/>
      <c r="F21" s="15">
        <f>G21+J21</f>
        <v>52800</v>
      </c>
      <c r="G21" s="15"/>
      <c r="H21" s="15"/>
      <c r="I21" s="15"/>
      <c r="J21" s="15">
        <f>150000-97200</f>
        <v>52800</v>
      </c>
      <c r="K21" s="15">
        <f>150000-97200</f>
        <v>52800</v>
      </c>
      <c r="L21" s="15">
        <f>150000-97200</f>
        <v>52800</v>
      </c>
      <c r="M21" s="16">
        <f t="shared" si="1"/>
        <v>173000</v>
      </c>
    </row>
    <row r="22" spans="1:13" s="8" customFormat="1" ht="51">
      <c r="A22" s="17"/>
      <c r="B22" s="18" t="s">
        <v>30</v>
      </c>
      <c r="C22" s="19"/>
      <c r="D22" s="20"/>
      <c r="E22" s="21"/>
      <c r="F22" s="15">
        <v>100000</v>
      </c>
      <c r="G22" s="15"/>
      <c r="H22" s="15"/>
      <c r="I22" s="15"/>
      <c r="J22" s="15">
        <v>100000</v>
      </c>
      <c r="K22" s="15">
        <v>100000</v>
      </c>
      <c r="L22" s="15"/>
      <c r="M22" s="16">
        <f t="shared" si="1"/>
        <v>100000</v>
      </c>
    </row>
    <row r="23" spans="1:13" s="8" customFormat="1" ht="51">
      <c r="A23" s="22"/>
      <c r="B23" s="23" t="s">
        <v>31</v>
      </c>
      <c r="C23" s="19"/>
      <c r="D23" s="20"/>
      <c r="E23" s="21"/>
      <c r="F23" s="15">
        <f>G23+J23</f>
        <v>8000</v>
      </c>
      <c r="G23" s="15"/>
      <c r="H23" s="15"/>
      <c r="I23" s="15"/>
      <c r="J23" s="15">
        <v>8000</v>
      </c>
      <c r="K23" s="15">
        <v>8000</v>
      </c>
      <c r="L23" s="15"/>
      <c r="M23" s="16">
        <f t="shared" si="1"/>
        <v>8000</v>
      </c>
    </row>
    <row r="24" spans="1:13" s="8" customFormat="1" ht="51">
      <c r="A24" s="22"/>
      <c r="B24" s="23" t="s">
        <v>32</v>
      </c>
      <c r="C24" s="19"/>
      <c r="D24" s="20"/>
      <c r="E24" s="21"/>
      <c r="F24" s="15">
        <f>G24+J24</f>
        <v>4000</v>
      </c>
      <c r="G24" s="15"/>
      <c r="H24" s="15"/>
      <c r="I24" s="15"/>
      <c r="J24" s="15">
        <v>4000</v>
      </c>
      <c r="K24" s="15">
        <v>4000</v>
      </c>
      <c r="L24" s="15"/>
      <c r="M24" s="16">
        <f t="shared" si="1"/>
        <v>4000</v>
      </c>
    </row>
    <row r="25" spans="1:13" s="8" customFormat="1" ht="25.5">
      <c r="A25" s="13" t="s">
        <v>33</v>
      </c>
      <c r="B25" s="14" t="s">
        <v>34</v>
      </c>
      <c r="C25" s="24">
        <f>1390856+27686-30000-41526-28720-113998+480527</f>
        <v>1684825</v>
      </c>
      <c r="D25" s="24">
        <f>607483+22241-24125-22300</f>
        <v>583299</v>
      </c>
      <c r="E25" s="24">
        <f>257108-28720-43206</f>
        <v>185182</v>
      </c>
      <c r="F25" s="24">
        <f>G25+J25</f>
        <v>18459.36</v>
      </c>
      <c r="G25" s="24">
        <f>11529+717.91+2204.45</f>
        <v>14451.36</v>
      </c>
      <c r="H25" s="24">
        <v>0</v>
      </c>
      <c r="I25" s="24">
        <v>0</v>
      </c>
      <c r="J25" s="24">
        <f>0+4008</f>
        <v>4008</v>
      </c>
      <c r="K25" s="24">
        <v>0</v>
      </c>
      <c r="L25" s="24"/>
      <c r="M25" s="25">
        <f t="shared" si="1"/>
        <v>1703284.36</v>
      </c>
    </row>
    <row r="26" spans="1:13" s="8" customFormat="1" ht="129" customHeight="1">
      <c r="A26" s="13"/>
      <c r="B26" s="26" t="s">
        <v>35</v>
      </c>
      <c r="C26" s="24">
        <f>466415-1000+44000-23000-9600-13340+17052</f>
        <v>480527</v>
      </c>
      <c r="D26" s="24"/>
      <c r="E26" s="24"/>
      <c r="F26" s="24"/>
      <c r="G26" s="24"/>
      <c r="H26" s="24"/>
      <c r="I26" s="24"/>
      <c r="J26" s="24"/>
      <c r="K26" s="24"/>
      <c r="L26" s="24"/>
      <c r="M26" s="25">
        <f t="shared" si="1"/>
        <v>480527</v>
      </c>
    </row>
    <row r="27" spans="1:13" s="8" customFormat="1" ht="51">
      <c r="A27" s="13"/>
      <c r="B27" s="14" t="s">
        <v>23</v>
      </c>
      <c r="C27" s="24">
        <v>27686</v>
      </c>
      <c r="D27" s="24">
        <v>22241</v>
      </c>
      <c r="E27" s="24"/>
      <c r="F27" s="24">
        <v>0</v>
      </c>
      <c r="G27" s="24"/>
      <c r="H27" s="24"/>
      <c r="I27" s="24"/>
      <c r="J27" s="24"/>
      <c r="K27" s="24"/>
      <c r="L27" s="24"/>
      <c r="M27" s="25">
        <f t="shared" si="1"/>
        <v>27686</v>
      </c>
    </row>
    <row r="28" spans="1:13" s="8" customFormat="1" ht="25.5">
      <c r="A28" s="13" t="s">
        <v>36</v>
      </c>
      <c r="B28" s="14" t="s">
        <v>37</v>
      </c>
      <c r="C28" s="15">
        <f>1197500+37470-87215+2390-2390-72602</f>
        <v>1075153</v>
      </c>
      <c r="D28" s="15">
        <f>761042+4000+30107-63789+2390-3107</f>
        <v>730643</v>
      </c>
      <c r="E28" s="15">
        <f>56679-700</f>
        <v>55979</v>
      </c>
      <c r="F28" s="24">
        <f>G28+J28</f>
        <v>9320</v>
      </c>
      <c r="G28" s="24">
        <v>9320</v>
      </c>
      <c r="H28" s="24">
        <v>0</v>
      </c>
      <c r="I28" s="24">
        <v>0</v>
      </c>
      <c r="J28" s="24">
        <v>0</v>
      </c>
      <c r="K28" s="24">
        <v>0</v>
      </c>
      <c r="L28" s="24"/>
      <c r="M28" s="25">
        <f t="shared" si="1"/>
        <v>1084473</v>
      </c>
    </row>
    <row r="29" spans="1:13" s="8" customFormat="1" ht="51">
      <c r="A29" s="13"/>
      <c r="B29" s="14" t="s">
        <v>23</v>
      </c>
      <c r="C29" s="15">
        <v>37470</v>
      </c>
      <c r="D29" s="15">
        <v>30107</v>
      </c>
      <c r="E29" s="15"/>
      <c r="F29" s="15">
        <v>0</v>
      </c>
      <c r="G29" s="15"/>
      <c r="H29" s="15"/>
      <c r="I29" s="15"/>
      <c r="J29" s="15"/>
      <c r="K29" s="15"/>
      <c r="L29" s="15"/>
      <c r="M29" s="16">
        <f t="shared" si="1"/>
        <v>37470</v>
      </c>
    </row>
    <row r="30" spans="1:13" s="8" customFormat="1" ht="25.5">
      <c r="A30" s="13" t="s">
        <v>38</v>
      </c>
      <c r="B30" s="14" t="s">
        <v>39</v>
      </c>
      <c r="C30" s="15">
        <f>705556+19416-26516-64000</f>
        <v>634456</v>
      </c>
      <c r="D30" s="15">
        <f>405915+14895-17392-8630</f>
        <v>394788</v>
      </c>
      <c r="E30" s="15">
        <f>20035-1290</f>
        <v>18745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/>
      <c r="M30" s="25">
        <f t="shared" si="1"/>
        <v>634456</v>
      </c>
    </row>
    <row r="31" spans="1:13" s="8" customFormat="1" ht="51">
      <c r="A31" s="13"/>
      <c r="B31" s="14" t="s">
        <v>23</v>
      </c>
      <c r="C31" s="24">
        <v>19416</v>
      </c>
      <c r="D31" s="24">
        <v>14895</v>
      </c>
      <c r="E31" s="24"/>
      <c r="F31" s="24">
        <v>0</v>
      </c>
      <c r="G31" s="24"/>
      <c r="H31" s="24"/>
      <c r="I31" s="24"/>
      <c r="J31" s="24"/>
      <c r="K31" s="24"/>
      <c r="L31" s="24"/>
      <c r="M31" s="25">
        <f t="shared" si="1"/>
        <v>19416</v>
      </c>
    </row>
    <row r="32" spans="1:13" s="8" customFormat="1" ht="25.5">
      <c r="A32" s="13" t="s">
        <v>40</v>
      </c>
      <c r="B32" s="14" t="s">
        <v>41</v>
      </c>
      <c r="C32" s="15">
        <f>1023288+32739-37758-61880</f>
        <v>956389</v>
      </c>
      <c r="D32" s="15">
        <f>586281+25116-30818-4980</f>
        <v>575599</v>
      </c>
      <c r="E32" s="15">
        <f>90279-30100</f>
        <v>60179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/>
      <c r="M32" s="25">
        <f t="shared" si="1"/>
        <v>956389</v>
      </c>
    </row>
    <row r="33" spans="1:13" s="8" customFormat="1" ht="51">
      <c r="A33" s="13"/>
      <c r="B33" s="14" t="s">
        <v>23</v>
      </c>
      <c r="C33" s="24">
        <v>32739</v>
      </c>
      <c r="D33" s="24">
        <v>25116</v>
      </c>
      <c r="E33" s="24"/>
      <c r="F33" s="24">
        <v>0</v>
      </c>
      <c r="G33" s="24"/>
      <c r="H33" s="24"/>
      <c r="I33" s="24"/>
      <c r="J33" s="24"/>
      <c r="K33" s="24"/>
      <c r="L33" s="24"/>
      <c r="M33" s="25">
        <f t="shared" si="1"/>
        <v>32739</v>
      </c>
    </row>
    <row r="34" spans="1:13" s="8" customFormat="1" ht="25.5">
      <c r="A34" s="13" t="s">
        <v>42</v>
      </c>
      <c r="B34" s="14" t="s">
        <v>43</v>
      </c>
      <c r="C34" s="15">
        <f>410059+9221-28517-35160</f>
        <v>355603</v>
      </c>
      <c r="D34" s="15">
        <f>205940+7074-21231-3300</f>
        <v>188483</v>
      </c>
      <c r="E34" s="15">
        <f>56319-15670</f>
        <v>40649</v>
      </c>
      <c r="F34" s="24">
        <v>30000</v>
      </c>
      <c r="G34" s="24">
        <v>0</v>
      </c>
      <c r="H34" s="24">
        <v>0</v>
      </c>
      <c r="I34" s="24">
        <v>0</v>
      </c>
      <c r="J34" s="24">
        <v>30000</v>
      </c>
      <c r="K34" s="24">
        <v>30000</v>
      </c>
      <c r="L34" s="24"/>
      <c r="M34" s="25">
        <f t="shared" si="1"/>
        <v>385603</v>
      </c>
    </row>
    <row r="35" spans="1:13" s="8" customFormat="1" ht="80.25" customHeight="1">
      <c r="A35" s="13"/>
      <c r="B35" s="14" t="s">
        <v>44</v>
      </c>
      <c r="C35" s="24"/>
      <c r="D35" s="24"/>
      <c r="E35" s="24"/>
      <c r="F35" s="24">
        <v>30000</v>
      </c>
      <c r="G35" s="24"/>
      <c r="H35" s="24"/>
      <c r="I35" s="24"/>
      <c r="J35" s="24">
        <v>30000</v>
      </c>
      <c r="K35" s="24">
        <v>30000</v>
      </c>
      <c r="L35" s="24"/>
      <c r="M35" s="25">
        <f t="shared" si="1"/>
        <v>30000</v>
      </c>
    </row>
    <row r="36" spans="1:13" s="8" customFormat="1" ht="51">
      <c r="A36" s="13"/>
      <c r="B36" s="14" t="s">
        <v>23</v>
      </c>
      <c r="C36" s="24">
        <v>9221</v>
      </c>
      <c r="D36" s="24">
        <v>7074</v>
      </c>
      <c r="E36" s="24"/>
      <c r="F36" s="24">
        <v>0</v>
      </c>
      <c r="G36" s="24"/>
      <c r="H36" s="24"/>
      <c r="I36" s="24"/>
      <c r="J36" s="24"/>
      <c r="K36" s="24"/>
      <c r="L36" s="24"/>
      <c r="M36" s="25">
        <f t="shared" si="1"/>
        <v>9221</v>
      </c>
    </row>
    <row r="37" spans="1:13" s="8" customFormat="1" ht="38.25">
      <c r="A37" s="13" t="s">
        <v>45</v>
      </c>
      <c r="B37" s="14" t="s">
        <v>46</v>
      </c>
      <c r="C37" s="24">
        <f>14509+3620</f>
        <v>18129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/>
      <c r="M37" s="25">
        <f t="shared" si="1"/>
        <v>18129</v>
      </c>
    </row>
    <row r="38" spans="1:13" s="8" customFormat="1" ht="12.75">
      <c r="A38" s="9" t="s">
        <v>47</v>
      </c>
      <c r="B38" s="10" t="s">
        <v>48</v>
      </c>
      <c r="C38" s="11">
        <f>C39</f>
        <v>8422722.98</v>
      </c>
      <c r="D38" s="11">
        <f aca="true" t="shared" si="3" ref="D38:L38">D39</f>
        <v>885600.99</v>
      </c>
      <c r="E38" s="11">
        <f t="shared" si="3"/>
        <v>375286.57</v>
      </c>
      <c r="F38" s="11">
        <f t="shared" si="3"/>
        <v>98100</v>
      </c>
      <c r="G38" s="11">
        <f t="shared" si="3"/>
        <v>0</v>
      </c>
      <c r="H38" s="11">
        <f t="shared" si="3"/>
        <v>0</v>
      </c>
      <c r="I38" s="11">
        <f t="shared" si="3"/>
        <v>0</v>
      </c>
      <c r="J38" s="11">
        <f t="shared" si="3"/>
        <v>98100</v>
      </c>
      <c r="K38" s="11">
        <f t="shared" si="3"/>
        <v>83100</v>
      </c>
      <c r="L38" s="11">
        <f t="shared" si="3"/>
        <v>83100</v>
      </c>
      <c r="M38" s="12">
        <f t="shared" si="1"/>
        <v>8520822.98</v>
      </c>
    </row>
    <row r="39" spans="1:13" s="28" customFormat="1" ht="25.5">
      <c r="A39" s="17" t="s">
        <v>49</v>
      </c>
      <c r="B39" s="14" t="s">
        <v>50</v>
      </c>
      <c r="C39" s="15">
        <f>6157200+24380+454300+568700-29100+266739+86711-87600-72399.02+70715+436800+169600+3282.12-3282.12+255075+43827+77775</f>
        <v>8422722.98</v>
      </c>
      <c r="D39" s="15">
        <f>885723.64-122.65</f>
        <v>885600.99</v>
      </c>
      <c r="E39" s="15">
        <f>378713.64-3427.07</f>
        <v>375286.57</v>
      </c>
      <c r="F39" s="15">
        <f>G39+J39</f>
        <v>98100</v>
      </c>
      <c r="G39" s="15">
        <v>0</v>
      </c>
      <c r="H39" s="15">
        <v>0</v>
      </c>
      <c r="I39" s="15">
        <v>0</v>
      </c>
      <c r="J39" s="15">
        <f>15000+87600-4500</f>
        <v>98100</v>
      </c>
      <c r="K39" s="27">
        <f>87600-4500</f>
        <v>83100</v>
      </c>
      <c r="L39" s="27">
        <f>87600-4500</f>
        <v>83100</v>
      </c>
      <c r="M39" s="16">
        <f t="shared" si="1"/>
        <v>8520822.98</v>
      </c>
    </row>
    <row r="40" spans="1:13" s="8" customFormat="1" ht="51">
      <c r="A40" s="13"/>
      <c r="B40" s="14" t="s">
        <v>23</v>
      </c>
      <c r="C40" s="24">
        <f>454300-29100+266739+86711+70715+436800+169600+255075+43827</f>
        <v>1754667</v>
      </c>
      <c r="D40" s="24">
        <v>123200</v>
      </c>
      <c r="E40" s="24"/>
      <c r="F40" s="24">
        <v>0</v>
      </c>
      <c r="G40" s="24"/>
      <c r="H40" s="24"/>
      <c r="I40" s="24"/>
      <c r="J40" s="24"/>
      <c r="K40" s="24"/>
      <c r="L40" s="24"/>
      <c r="M40" s="25">
        <f t="shared" si="1"/>
        <v>1754667</v>
      </c>
    </row>
    <row r="41" spans="1:13" s="8" customFormat="1" ht="89.25">
      <c r="A41" s="13"/>
      <c r="B41" s="14" t="s">
        <v>29</v>
      </c>
      <c r="C41" s="24">
        <v>568700</v>
      </c>
      <c r="D41" s="24"/>
      <c r="E41" s="24"/>
      <c r="F41" s="24"/>
      <c r="G41" s="24"/>
      <c r="H41" s="24"/>
      <c r="I41" s="24"/>
      <c r="J41" s="24"/>
      <c r="K41" s="24"/>
      <c r="L41" s="24"/>
      <c r="M41" s="25">
        <f t="shared" si="1"/>
        <v>568700</v>
      </c>
    </row>
    <row r="42" spans="1:13" s="8" customFormat="1" ht="25.5">
      <c r="A42" s="9" t="s">
        <v>51</v>
      </c>
      <c r="B42" s="10" t="s">
        <v>52</v>
      </c>
      <c r="C42" s="11">
        <f>C43+C44+C45+C46+C47+C48+C49+C50+C51+C52+C53+C54+C55+C56+C57+C58+C59+C60+C61+C62+C63+C64+C65+C66+C68+C70+C71+C74+C75+C76+C77+C78+C79+C82+C83+C84</f>
        <v>28545671.090000007</v>
      </c>
      <c r="D42" s="11">
        <f aca="true" t="shared" si="4" ref="D42:L42">D43+D44+D45+D46+D47+D48+D49+D50+D51+D52+D53+D54+D55+D56+D57+D58+D59+D60+D61+D62+D63+D64+D65+D66+D68+D70+D71+D74+D75+D76+D77+D78+D79+D82+D83+D84</f>
        <v>2249410</v>
      </c>
      <c r="E42" s="11">
        <f t="shared" si="4"/>
        <v>262418</v>
      </c>
      <c r="F42" s="11">
        <f>F43+F44+F45+F46+F47+F48+F49+F50+F51+F52+F53+F54+F55+F56+F57+F58+F59+F60+F61+F62+F63+F64+F65+F66+F68+F70+F71+F74+F75+F76+F77+F78+F79+F82+F83+F84</f>
        <v>248830.6</v>
      </c>
      <c r="G42" s="11">
        <f t="shared" si="4"/>
        <v>200830.6</v>
      </c>
      <c r="H42" s="11">
        <f t="shared" si="4"/>
        <v>0</v>
      </c>
      <c r="I42" s="11">
        <f t="shared" si="4"/>
        <v>0</v>
      </c>
      <c r="J42" s="11">
        <f t="shared" si="4"/>
        <v>48000</v>
      </c>
      <c r="K42" s="11">
        <f t="shared" si="4"/>
        <v>48000</v>
      </c>
      <c r="L42" s="11">
        <f t="shared" si="4"/>
        <v>48000</v>
      </c>
      <c r="M42" s="12">
        <f t="shared" si="1"/>
        <v>28794501.69000001</v>
      </c>
    </row>
    <row r="43" spans="1:13" s="8" customFormat="1" ht="89.25">
      <c r="A43" s="13" t="s">
        <v>53</v>
      </c>
      <c r="B43" s="14" t="s">
        <v>54</v>
      </c>
      <c r="C43" s="24">
        <f>2324718.74-9078.3+43800-76645.31-79712.94</f>
        <v>2203082.1900000004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/>
      <c r="M43" s="25">
        <f t="shared" si="1"/>
        <v>2203082.1900000004</v>
      </c>
    </row>
    <row r="44" spans="1:13" s="8" customFormat="1" ht="89.25">
      <c r="A44" s="13" t="s">
        <v>55</v>
      </c>
      <c r="B44" s="14" t="s">
        <v>54</v>
      </c>
      <c r="C44" s="24">
        <f>281567-70308.53</f>
        <v>211258.47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/>
      <c r="M44" s="25">
        <f t="shared" si="1"/>
        <v>211258.47</v>
      </c>
    </row>
    <row r="45" spans="1:13" s="8" customFormat="1" ht="89.25">
      <c r="A45" s="17" t="s">
        <v>56</v>
      </c>
      <c r="B45" s="14" t="s">
        <v>57</v>
      </c>
      <c r="C45" s="24">
        <f>60200+5000-5000</f>
        <v>60200</v>
      </c>
      <c r="D45" s="24">
        <v>0</v>
      </c>
      <c r="E45" s="24">
        <v>0</v>
      </c>
      <c r="F45" s="24">
        <f>5000-5000</f>
        <v>0</v>
      </c>
      <c r="G45" s="24">
        <v>0</v>
      </c>
      <c r="H45" s="24">
        <v>0</v>
      </c>
      <c r="I45" s="24">
        <v>0</v>
      </c>
      <c r="J45" s="24">
        <f>5000-5000</f>
        <v>0</v>
      </c>
      <c r="K45" s="24">
        <f>5000-5000</f>
        <v>0</v>
      </c>
      <c r="L45" s="24">
        <f>5000-5000</f>
        <v>0</v>
      </c>
      <c r="M45" s="25">
        <f t="shared" si="1"/>
        <v>60200</v>
      </c>
    </row>
    <row r="46" spans="1:13" s="8" customFormat="1" ht="89.25">
      <c r="A46" s="13" t="s">
        <v>58</v>
      </c>
      <c r="B46" s="14" t="s">
        <v>59</v>
      </c>
      <c r="C46" s="24">
        <f>236704+8656.58+35874.69+3744.02</f>
        <v>284979.29000000004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/>
      <c r="M46" s="25">
        <f t="shared" si="1"/>
        <v>284979.29000000004</v>
      </c>
    </row>
    <row r="47" spans="1:13" s="8" customFormat="1" ht="89.25">
      <c r="A47" s="13" t="s">
        <v>60</v>
      </c>
      <c r="B47" s="14" t="s">
        <v>59</v>
      </c>
      <c r="C47" s="24">
        <f>7615+589.02-964.82</f>
        <v>7239.200000000001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/>
      <c r="M47" s="25">
        <f t="shared" si="1"/>
        <v>7239.200000000001</v>
      </c>
    </row>
    <row r="48" spans="1:13" s="8" customFormat="1" ht="89.25">
      <c r="A48" s="13" t="s">
        <v>61</v>
      </c>
      <c r="B48" s="14" t="s">
        <v>62</v>
      </c>
      <c r="C48" s="24">
        <f>38625+5205.9</f>
        <v>43830.9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/>
      <c r="M48" s="25">
        <f t="shared" si="1"/>
        <v>43830.9</v>
      </c>
    </row>
    <row r="49" spans="1:13" s="8" customFormat="1" ht="89.25">
      <c r="A49" s="13" t="s">
        <v>63</v>
      </c>
      <c r="B49" s="14" t="s">
        <v>64</v>
      </c>
      <c r="C49" s="24">
        <f>3263+476.44</f>
        <v>3739.44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/>
      <c r="M49" s="25">
        <f t="shared" si="1"/>
        <v>3739.44</v>
      </c>
    </row>
    <row r="50" spans="1:13" s="8" customFormat="1" ht="76.5">
      <c r="A50" s="13" t="s">
        <v>65</v>
      </c>
      <c r="B50" s="14" t="s">
        <v>66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/>
      <c r="M50" s="25">
        <f t="shared" si="1"/>
        <v>0</v>
      </c>
    </row>
    <row r="51" spans="1:13" s="8" customFormat="1" ht="89.25">
      <c r="A51" s="13" t="s">
        <v>67</v>
      </c>
      <c r="B51" s="14" t="s">
        <v>68</v>
      </c>
      <c r="C51" s="24">
        <f>535702.56+93034.18+73942.82</f>
        <v>702679.56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/>
      <c r="M51" s="25">
        <f t="shared" si="1"/>
        <v>702679.56</v>
      </c>
    </row>
    <row r="52" spans="1:13" s="8" customFormat="1" ht="89.25">
      <c r="A52" s="13" t="s">
        <v>69</v>
      </c>
      <c r="B52" s="14" t="s">
        <v>68</v>
      </c>
      <c r="C52" s="24">
        <f>43600-5972.02</f>
        <v>37627.979999999996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/>
      <c r="M52" s="25">
        <f t="shared" si="1"/>
        <v>37627.979999999996</v>
      </c>
    </row>
    <row r="53" spans="1:13" s="8" customFormat="1" ht="25.5">
      <c r="A53" s="13" t="s">
        <v>70</v>
      </c>
      <c r="B53" s="14" t="s">
        <v>71</v>
      </c>
      <c r="C53" s="24">
        <f>22200-4980</f>
        <v>17220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/>
      <c r="M53" s="25">
        <f t="shared" si="1"/>
        <v>17220</v>
      </c>
    </row>
    <row r="54" spans="1:13" s="8" customFormat="1" ht="25.5">
      <c r="A54" s="13" t="s">
        <v>72</v>
      </c>
      <c r="B54" s="14" t="s">
        <v>73</v>
      </c>
      <c r="C54" s="24">
        <f>87393+421.72+10675.99+2026.1</f>
        <v>100516.81000000001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/>
      <c r="M54" s="25">
        <f t="shared" si="1"/>
        <v>100516.81000000001</v>
      </c>
    </row>
    <row r="55" spans="1:13" s="8" customFormat="1" ht="25.5">
      <c r="A55" s="13" t="s">
        <v>74</v>
      </c>
      <c r="B55" s="14" t="s">
        <v>75</v>
      </c>
      <c r="C55" s="24">
        <f>32080+7774.56-8004.27</f>
        <v>31850.289999999997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/>
      <c r="M55" s="25">
        <f t="shared" si="1"/>
        <v>31850.289999999997</v>
      </c>
    </row>
    <row r="56" spans="1:13" s="8" customFormat="1" ht="25.5">
      <c r="A56" s="13" t="s">
        <v>76</v>
      </c>
      <c r="B56" s="14" t="s">
        <v>77</v>
      </c>
      <c r="C56" s="24">
        <f>303105-85951.51</f>
        <v>217153.49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/>
      <c r="M56" s="25">
        <f t="shared" si="1"/>
        <v>217153.49</v>
      </c>
    </row>
    <row r="57" spans="1:13" s="8" customFormat="1" ht="25.5">
      <c r="A57" s="13" t="s">
        <v>78</v>
      </c>
      <c r="B57" s="14" t="s">
        <v>79</v>
      </c>
      <c r="C57" s="24">
        <f>2797792+87000+253000+8020.52+50415.04</f>
        <v>3196227.56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/>
      <c r="M57" s="25">
        <f t="shared" si="1"/>
        <v>3196227.56</v>
      </c>
    </row>
    <row r="58" spans="1:13" s="8" customFormat="1" ht="12.75">
      <c r="A58" s="13" t="s">
        <v>80</v>
      </c>
      <c r="B58" s="14" t="s">
        <v>81</v>
      </c>
      <c r="C58" s="24">
        <f>8193864.91+568200-20057.23+278574.77+93003.96+52261.26</f>
        <v>9165847.67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/>
      <c r="M58" s="25">
        <f aca="true" t="shared" si="5" ref="M58:M90">C58+F58</f>
        <v>9165847.67</v>
      </c>
    </row>
    <row r="59" spans="1:13" s="8" customFormat="1" ht="25.5">
      <c r="A59" s="13" t="s">
        <v>82</v>
      </c>
      <c r="B59" s="14" t="s">
        <v>83</v>
      </c>
      <c r="C59" s="24">
        <f>993122+120000+60253.43-1292.68</f>
        <v>1172082.75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/>
      <c r="M59" s="25">
        <f t="shared" si="5"/>
        <v>1172082.75</v>
      </c>
    </row>
    <row r="60" spans="1:13" s="8" customFormat="1" ht="12.75">
      <c r="A60" s="13" t="s">
        <v>84</v>
      </c>
      <c r="B60" s="14" t="s">
        <v>85</v>
      </c>
      <c r="C60" s="24">
        <f>2082168+8516.17+14248.43</f>
        <v>2104932.6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/>
      <c r="M60" s="25">
        <f t="shared" si="5"/>
        <v>2104932.6</v>
      </c>
    </row>
    <row r="61" spans="1:13" s="8" customFormat="1" ht="12.75">
      <c r="A61" s="13" t="s">
        <v>86</v>
      </c>
      <c r="B61" s="14" t="s">
        <v>87</v>
      </c>
      <c r="C61" s="24">
        <f>411301.48+6762.03</f>
        <v>418063.51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/>
      <c r="M61" s="25">
        <f t="shared" si="5"/>
        <v>418063.51</v>
      </c>
    </row>
    <row r="62" spans="1:13" s="8" customFormat="1" ht="12.75">
      <c r="A62" s="13" t="s">
        <v>88</v>
      </c>
      <c r="B62" s="14" t="s">
        <v>89</v>
      </c>
      <c r="C62" s="24">
        <f>65000-48216.72+10850-13.52</f>
        <v>27619.76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/>
      <c r="M62" s="25">
        <f t="shared" si="5"/>
        <v>27619.76</v>
      </c>
    </row>
    <row r="63" spans="1:13" s="8" customFormat="1" ht="25.5">
      <c r="A63" s="13" t="s">
        <v>90</v>
      </c>
      <c r="B63" s="14" t="s">
        <v>91</v>
      </c>
      <c r="C63" s="24">
        <f>664416.61+5782.98</f>
        <v>670199.59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/>
      <c r="M63" s="25">
        <f t="shared" si="5"/>
        <v>670199.59</v>
      </c>
    </row>
    <row r="64" spans="1:13" s="8" customFormat="1" ht="38.25">
      <c r="A64" s="13" t="s">
        <v>92</v>
      </c>
      <c r="B64" s="14" t="s">
        <v>93</v>
      </c>
      <c r="C64" s="24">
        <f>866756.7+12654.55</f>
        <v>879411.25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/>
      <c r="M64" s="25">
        <f t="shared" si="5"/>
        <v>879411.25</v>
      </c>
    </row>
    <row r="65" spans="1:13" s="8" customFormat="1" ht="51">
      <c r="A65" s="13" t="s">
        <v>94</v>
      </c>
      <c r="B65" s="14" t="s">
        <v>95</v>
      </c>
      <c r="C65" s="24">
        <f>472675-8363.5-476.52-275750.36</f>
        <v>188084.62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/>
      <c r="M65" s="25">
        <f t="shared" si="5"/>
        <v>188084.62</v>
      </c>
    </row>
    <row r="66" spans="1:13" s="8" customFormat="1" ht="25.5">
      <c r="A66" s="13" t="s">
        <v>96</v>
      </c>
      <c r="B66" s="14" t="s">
        <v>97</v>
      </c>
      <c r="C66" s="24">
        <f>108403+24000+2000</f>
        <v>134403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/>
      <c r="M66" s="25">
        <f t="shared" si="5"/>
        <v>134403</v>
      </c>
    </row>
    <row r="67" spans="1:13" s="8" customFormat="1" ht="63.75">
      <c r="A67" s="13"/>
      <c r="B67" s="14" t="s">
        <v>98</v>
      </c>
      <c r="C67" s="24">
        <f>24000+24000</f>
        <v>48000</v>
      </c>
      <c r="D67" s="24"/>
      <c r="E67" s="24"/>
      <c r="F67" s="24"/>
      <c r="G67" s="24"/>
      <c r="H67" s="24"/>
      <c r="I67" s="24"/>
      <c r="J67" s="24"/>
      <c r="K67" s="24"/>
      <c r="L67" s="24"/>
      <c r="M67" s="25">
        <f aca="true" t="shared" si="6" ref="M67:M94">C67+F67</f>
        <v>48000</v>
      </c>
    </row>
    <row r="68" spans="1:13" s="8" customFormat="1" ht="25.5">
      <c r="A68" s="13" t="s">
        <v>99</v>
      </c>
      <c r="B68" s="14" t="s">
        <v>100</v>
      </c>
      <c r="C68" s="24">
        <f>30703+30000</f>
        <v>60703</v>
      </c>
      <c r="D68" s="24">
        <v>0</v>
      </c>
      <c r="E68" s="24">
        <v>0</v>
      </c>
      <c r="F68" s="24">
        <f>30000-30000</f>
        <v>0</v>
      </c>
      <c r="G68" s="24">
        <v>0</v>
      </c>
      <c r="H68" s="24">
        <v>0</v>
      </c>
      <c r="I68" s="24">
        <v>0</v>
      </c>
      <c r="J68" s="24">
        <f>30000-30000</f>
        <v>0</v>
      </c>
      <c r="K68" s="24">
        <f>30000-30000</f>
        <v>0</v>
      </c>
      <c r="L68" s="24"/>
      <c r="M68" s="25">
        <f t="shared" si="6"/>
        <v>60703</v>
      </c>
    </row>
    <row r="69" spans="1:13" s="8" customFormat="1" ht="89.25">
      <c r="A69" s="13"/>
      <c r="B69" s="14" t="s">
        <v>101</v>
      </c>
      <c r="C69" s="24">
        <v>30000</v>
      </c>
      <c r="D69" s="24"/>
      <c r="E69" s="24"/>
      <c r="F69" s="24">
        <f>30000-30000</f>
        <v>0</v>
      </c>
      <c r="G69" s="24"/>
      <c r="H69" s="24"/>
      <c r="I69" s="24"/>
      <c r="J69" s="24">
        <f>30000-30000</f>
        <v>0</v>
      </c>
      <c r="K69" s="24">
        <f>30000-30000</f>
        <v>0</v>
      </c>
      <c r="L69" s="24"/>
      <c r="M69" s="25">
        <f t="shared" si="6"/>
        <v>30000</v>
      </c>
    </row>
    <row r="70" spans="1:13" s="8" customFormat="1" ht="12.75">
      <c r="A70" s="13" t="s">
        <v>102</v>
      </c>
      <c r="B70" s="14" t="s">
        <v>103</v>
      </c>
      <c r="C70" s="24">
        <v>15300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/>
      <c r="M70" s="25">
        <f t="shared" si="6"/>
        <v>15300</v>
      </c>
    </row>
    <row r="71" spans="1:13" s="8" customFormat="1" ht="25.5">
      <c r="A71" s="13" t="s">
        <v>104</v>
      </c>
      <c r="B71" s="14" t="s">
        <v>105</v>
      </c>
      <c r="C71" s="24">
        <f>115400+50+251+475+285845+3268-48000+19340</f>
        <v>376629</v>
      </c>
      <c r="D71" s="24">
        <f>77110+209718+2347-78570+13601</f>
        <v>224206</v>
      </c>
      <c r="E71" s="24">
        <f>8040+5800</f>
        <v>13840</v>
      </c>
      <c r="F71" s="24">
        <f>G71+J71</f>
        <v>48000</v>
      </c>
      <c r="G71" s="24">
        <v>0</v>
      </c>
      <c r="H71" s="24">
        <v>0</v>
      </c>
      <c r="I71" s="24">
        <v>0</v>
      </c>
      <c r="J71" s="24">
        <v>48000</v>
      </c>
      <c r="K71" s="24">
        <v>48000</v>
      </c>
      <c r="L71" s="24">
        <v>48000</v>
      </c>
      <c r="M71" s="25">
        <f t="shared" si="5"/>
        <v>424629</v>
      </c>
    </row>
    <row r="72" spans="1:13" s="8" customFormat="1" ht="63.75">
      <c r="A72" s="13"/>
      <c r="B72" s="14" t="s">
        <v>106</v>
      </c>
      <c r="C72" s="24">
        <f>285845-48000</f>
        <v>237845</v>
      </c>
      <c r="D72" s="24">
        <f>209718-78570</f>
        <v>131148</v>
      </c>
      <c r="E72" s="24">
        <v>5800</v>
      </c>
      <c r="F72" s="24">
        <f>G72+J72</f>
        <v>48000</v>
      </c>
      <c r="G72" s="24"/>
      <c r="H72" s="24"/>
      <c r="I72" s="24"/>
      <c r="J72" s="24">
        <v>48000</v>
      </c>
      <c r="K72" s="24">
        <v>48000</v>
      </c>
      <c r="L72" s="24">
        <v>48000</v>
      </c>
      <c r="M72" s="25">
        <f t="shared" si="6"/>
        <v>285845</v>
      </c>
    </row>
    <row r="73" spans="1:13" s="8" customFormat="1" ht="51">
      <c r="A73" s="13"/>
      <c r="B73" s="14" t="s">
        <v>23</v>
      </c>
      <c r="C73" s="24">
        <v>3268</v>
      </c>
      <c r="D73" s="24">
        <v>2347</v>
      </c>
      <c r="E73" s="24"/>
      <c r="F73" s="24">
        <v>0</v>
      </c>
      <c r="G73" s="24"/>
      <c r="H73" s="24"/>
      <c r="I73" s="24"/>
      <c r="J73" s="24"/>
      <c r="K73" s="24"/>
      <c r="L73" s="24"/>
      <c r="M73" s="25">
        <f t="shared" si="6"/>
        <v>3268</v>
      </c>
    </row>
    <row r="74" spans="1:13" s="8" customFormat="1" ht="25.5">
      <c r="A74" s="13" t="s">
        <v>107</v>
      </c>
      <c r="B74" s="14" t="s">
        <v>108</v>
      </c>
      <c r="C74" s="24">
        <f>11000+4480</f>
        <v>15480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/>
      <c r="M74" s="25">
        <f t="shared" si="6"/>
        <v>15480</v>
      </c>
    </row>
    <row r="75" spans="1:13" s="8" customFormat="1" ht="25.5">
      <c r="A75" s="13" t="s">
        <v>109</v>
      </c>
      <c r="B75" s="14" t="s">
        <v>110</v>
      </c>
      <c r="C75" s="24">
        <v>1300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/>
      <c r="M75" s="25">
        <f t="shared" si="6"/>
        <v>1300</v>
      </c>
    </row>
    <row r="76" spans="1:13" s="8" customFormat="1" ht="38.25">
      <c r="A76" s="13" t="s">
        <v>111</v>
      </c>
      <c r="B76" s="14" t="s">
        <v>112</v>
      </c>
      <c r="C76" s="24">
        <v>600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/>
      <c r="M76" s="25">
        <f t="shared" si="6"/>
        <v>600</v>
      </c>
    </row>
    <row r="77" spans="1:13" s="8" customFormat="1" ht="25.5">
      <c r="A77" s="13" t="s">
        <v>113</v>
      </c>
      <c r="B77" s="14" t="s">
        <v>114</v>
      </c>
      <c r="C77" s="24">
        <v>1100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/>
      <c r="M77" s="25">
        <f t="shared" si="6"/>
        <v>1100</v>
      </c>
    </row>
    <row r="78" spans="1:13" s="28" customFormat="1" ht="63.75">
      <c r="A78" s="17" t="s">
        <v>115</v>
      </c>
      <c r="B78" s="14" t="s">
        <v>116</v>
      </c>
      <c r="C78" s="24">
        <f>286769-12040</f>
        <v>274729</v>
      </c>
      <c r="D78" s="24">
        <v>0</v>
      </c>
      <c r="E78" s="24">
        <v>0</v>
      </c>
      <c r="F78" s="24">
        <f>G78+J78</f>
        <v>830.6</v>
      </c>
      <c r="G78" s="24">
        <v>830.6</v>
      </c>
      <c r="H78" s="24">
        <v>0</v>
      </c>
      <c r="I78" s="24">
        <v>0</v>
      </c>
      <c r="J78" s="24">
        <v>0</v>
      </c>
      <c r="K78" s="24">
        <v>0</v>
      </c>
      <c r="L78" s="24"/>
      <c r="M78" s="25">
        <f>C78+F78</f>
        <v>275559.6</v>
      </c>
    </row>
    <row r="79" spans="1:13" s="8" customFormat="1" ht="38.25">
      <c r="A79" s="13" t="s">
        <v>117</v>
      </c>
      <c r="B79" s="14" t="s">
        <v>118</v>
      </c>
      <c r="C79" s="15">
        <f>2170592+154000+56000+113500-7300+136700+68150+26000+250000+35200+145517+202633</f>
        <v>3350992</v>
      </c>
      <c r="D79" s="15">
        <f>1108600+154000+83300-5400+100000+50000+21241+183420+26200+107391+149453+46999</f>
        <v>2025204</v>
      </c>
      <c r="E79" s="15">
        <f>303772-55194</f>
        <v>248578</v>
      </c>
      <c r="F79" s="15">
        <f>G79+J79</f>
        <v>200000</v>
      </c>
      <c r="G79" s="15">
        <f>70000+130000</f>
        <v>200000</v>
      </c>
      <c r="H79" s="15">
        <v>0</v>
      </c>
      <c r="I79" s="15">
        <v>0</v>
      </c>
      <c r="J79" s="15">
        <v>0</v>
      </c>
      <c r="K79" s="15">
        <v>0</v>
      </c>
      <c r="L79" s="15"/>
      <c r="M79" s="16">
        <f t="shared" si="5"/>
        <v>3550992</v>
      </c>
    </row>
    <row r="80" spans="1:13" s="8" customFormat="1" ht="51">
      <c r="A80" s="13"/>
      <c r="B80" s="14" t="s">
        <v>23</v>
      </c>
      <c r="C80" s="24">
        <f>113500-7300+136700+68150+26000+35200+145517+202633</f>
        <v>720400</v>
      </c>
      <c r="D80" s="24">
        <f>83300-5400+100000+50000+21241+26200+107391+149453</f>
        <v>532185</v>
      </c>
      <c r="E80" s="24"/>
      <c r="F80" s="24">
        <v>0</v>
      </c>
      <c r="G80" s="24"/>
      <c r="H80" s="24"/>
      <c r="I80" s="24"/>
      <c r="J80" s="24"/>
      <c r="K80" s="24"/>
      <c r="L80" s="24"/>
      <c r="M80" s="25">
        <f>C80+F80</f>
        <v>720400</v>
      </c>
    </row>
    <row r="81" spans="1:13" s="8" customFormat="1" ht="51">
      <c r="A81" s="17"/>
      <c r="B81" s="14" t="s">
        <v>24</v>
      </c>
      <c r="C81" s="15">
        <v>250000</v>
      </c>
      <c r="D81" s="15">
        <v>183420</v>
      </c>
      <c r="E81" s="15"/>
      <c r="F81" s="15"/>
      <c r="G81" s="15"/>
      <c r="H81" s="15"/>
      <c r="I81" s="15"/>
      <c r="J81" s="15"/>
      <c r="K81" s="15"/>
      <c r="L81" s="15"/>
      <c r="M81" s="16">
        <f>C81+F81</f>
        <v>250000</v>
      </c>
    </row>
    <row r="82" spans="1:13" s="8" customFormat="1" ht="76.5">
      <c r="A82" s="13" t="s">
        <v>119</v>
      </c>
      <c r="B82" s="14" t="s">
        <v>120</v>
      </c>
      <c r="C82" s="24">
        <f>142500-48537-2000-30000</f>
        <v>61963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/>
      <c r="M82" s="25">
        <f t="shared" si="5"/>
        <v>61963</v>
      </c>
    </row>
    <row r="83" spans="1:13" s="8" customFormat="1" ht="25.5">
      <c r="A83" s="13" t="s">
        <v>121</v>
      </c>
      <c r="B83" s="14" t="s">
        <v>122</v>
      </c>
      <c r="C83" s="24">
        <v>80094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/>
      <c r="M83" s="25">
        <f t="shared" si="6"/>
        <v>80094</v>
      </c>
    </row>
    <row r="84" spans="1:13" s="8" customFormat="1" ht="25.5">
      <c r="A84" s="13" t="s">
        <v>123</v>
      </c>
      <c r="B84" s="14" t="s">
        <v>124</v>
      </c>
      <c r="C84" s="24">
        <f>2661730-125959.97-107238.87</f>
        <v>2428531.1599999997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/>
      <c r="M84" s="25">
        <f t="shared" si="5"/>
        <v>2428531.1599999997</v>
      </c>
    </row>
    <row r="85" spans="1:13" s="8" customFormat="1" ht="12.75">
      <c r="A85" s="9" t="s">
        <v>125</v>
      </c>
      <c r="B85" s="10" t="s">
        <v>126</v>
      </c>
      <c r="C85" s="11">
        <f>C86+C88+C89+C90</f>
        <v>1590583</v>
      </c>
      <c r="D85" s="11">
        <f aca="true" t="shared" si="7" ref="D85:L85">D86+D88+D89+D90</f>
        <v>1005285</v>
      </c>
      <c r="E85" s="11">
        <f t="shared" si="7"/>
        <v>124423</v>
      </c>
      <c r="F85" s="11">
        <f>F86+F88+F89+F90</f>
        <v>93084.84</v>
      </c>
      <c r="G85" s="11">
        <f t="shared" si="7"/>
        <v>67683.5</v>
      </c>
      <c r="H85" s="11">
        <f t="shared" si="7"/>
        <v>46480.19</v>
      </c>
      <c r="I85" s="11">
        <f t="shared" si="7"/>
        <v>0</v>
      </c>
      <c r="J85" s="11">
        <f t="shared" si="7"/>
        <v>25401.34</v>
      </c>
      <c r="K85" s="11">
        <f t="shared" si="7"/>
        <v>3000</v>
      </c>
      <c r="L85" s="11">
        <f t="shared" si="7"/>
        <v>0</v>
      </c>
      <c r="M85" s="12">
        <f t="shared" si="6"/>
        <v>1683667.84</v>
      </c>
    </row>
    <row r="86" spans="1:13" s="8" customFormat="1" ht="25.5">
      <c r="A86" s="13" t="s">
        <v>127</v>
      </c>
      <c r="B86" s="14" t="s">
        <v>128</v>
      </c>
      <c r="C86" s="24">
        <v>40000</v>
      </c>
      <c r="D86" s="24">
        <v>0</v>
      </c>
      <c r="E86" s="24">
        <v>0</v>
      </c>
      <c r="F86" s="24">
        <v>3000</v>
      </c>
      <c r="G86" s="24">
        <v>0</v>
      </c>
      <c r="H86" s="24">
        <v>0</v>
      </c>
      <c r="I86" s="24">
        <v>0</v>
      </c>
      <c r="J86" s="24">
        <v>3000</v>
      </c>
      <c r="K86" s="24">
        <v>3000</v>
      </c>
      <c r="L86" s="24"/>
      <c r="M86" s="25">
        <f t="shared" si="5"/>
        <v>43000</v>
      </c>
    </row>
    <row r="87" spans="1:13" s="8" customFormat="1" ht="63.75">
      <c r="A87" s="13"/>
      <c r="B87" s="14" t="s">
        <v>129</v>
      </c>
      <c r="C87" s="24"/>
      <c r="D87" s="24"/>
      <c r="E87" s="24"/>
      <c r="F87" s="24">
        <v>3000</v>
      </c>
      <c r="G87" s="24"/>
      <c r="H87" s="24"/>
      <c r="I87" s="24"/>
      <c r="J87" s="24">
        <v>3000</v>
      </c>
      <c r="K87" s="24">
        <v>3000</v>
      </c>
      <c r="L87" s="24"/>
      <c r="M87" s="25">
        <f t="shared" si="5"/>
        <v>3000</v>
      </c>
    </row>
    <row r="88" spans="1:13" s="8" customFormat="1" ht="12.75">
      <c r="A88" s="13" t="s">
        <v>130</v>
      </c>
      <c r="B88" s="14" t="s">
        <v>131</v>
      </c>
      <c r="C88" s="24">
        <f>241536-23800</f>
        <v>217736</v>
      </c>
      <c r="D88" s="24">
        <v>129006</v>
      </c>
      <c r="E88" s="24">
        <f>53101-23800</f>
        <v>29301</v>
      </c>
      <c r="F88" s="24">
        <f>G88+J88</f>
        <v>23005.34</v>
      </c>
      <c r="G88" s="24">
        <f>300+304</f>
        <v>604</v>
      </c>
      <c r="H88" s="24">
        <v>0</v>
      </c>
      <c r="I88" s="24">
        <v>0</v>
      </c>
      <c r="J88" s="24">
        <f>1700+20701.34</f>
        <v>22401.34</v>
      </c>
      <c r="K88" s="24">
        <v>0</v>
      </c>
      <c r="L88" s="24"/>
      <c r="M88" s="25">
        <f t="shared" si="5"/>
        <v>240741.34</v>
      </c>
    </row>
    <row r="89" spans="1:13" s="8" customFormat="1" ht="12.75">
      <c r="A89" s="13" t="s">
        <v>132</v>
      </c>
      <c r="B89" s="14" t="s">
        <v>133</v>
      </c>
      <c r="C89" s="24">
        <v>1060189</v>
      </c>
      <c r="D89" s="24">
        <v>692461</v>
      </c>
      <c r="E89" s="24">
        <v>82361</v>
      </c>
      <c r="F89" s="24">
        <f>G89+J89</f>
        <v>64602.5</v>
      </c>
      <c r="G89" s="24">
        <f>52067+12535.5</f>
        <v>64602.5</v>
      </c>
      <c r="H89" s="24">
        <f>38200+8280.19</f>
        <v>46480.19</v>
      </c>
      <c r="I89" s="24">
        <v>0</v>
      </c>
      <c r="J89" s="24">
        <v>0</v>
      </c>
      <c r="K89" s="24">
        <v>0</v>
      </c>
      <c r="L89" s="24"/>
      <c r="M89" s="25">
        <f t="shared" si="5"/>
        <v>1124791.5</v>
      </c>
    </row>
    <row r="90" spans="1:13" s="8" customFormat="1" ht="12.75">
      <c r="A90" s="13" t="s">
        <v>134</v>
      </c>
      <c r="B90" s="14" t="s">
        <v>135</v>
      </c>
      <c r="C90" s="24">
        <f>299658-22400-4600</f>
        <v>272658</v>
      </c>
      <c r="D90" s="24">
        <f>200218-16400</f>
        <v>183818</v>
      </c>
      <c r="E90" s="24">
        <f>17361-4600</f>
        <v>12761</v>
      </c>
      <c r="F90" s="24">
        <f>G90+J90</f>
        <v>2477</v>
      </c>
      <c r="G90" s="24">
        <v>2477</v>
      </c>
      <c r="H90" s="24">
        <v>0</v>
      </c>
      <c r="I90" s="24">
        <v>0</v>
      </c>
      <c r="J90" s="24">
        <v>0</v>
      </c>
      <c r="K90" s="24">
        <v>0</v>
      </c>
      <c r="L90" s="24"/>
      <c r="M90" s="25">
        <f t="shared" si="5"/>
        <v>275135</v>
      </c>
    </row>
    <row r="91" spans="1:13" s="8" customFormat="1" ht="12.75">
      <c r="A91" s="9" t="s">
        <v>136</v>
      </c>
      <c r="B91" s="10" t="s">
        <v>137</v>
      </c>
      <c r="C91" s="11">
        <f>C92+C93</f>
        <v>180000</v>
      </c>
      <c r="D91" s="11">
        <f aca="true" t="shared" si="8" ref="D91:L91">D92+D93</f>
        <v>0</v>
      </c>
      <c r="E91" s="11">
        <f t="shared" si="8"/>
        <v>0</v>
      </c>
      <c r="F91" s="11">
        <f t="shared" si="8"/>
        <v>0</v>
      </c>
      <c r="G91" s="11">
        <f t="shared" si="8"/>
        <v>0</v>
      </c>
      <c r="H91" s="11">
        <f t="shared" si="8"/>
        <v>0</v>
      </c>
      <c r="I91" s="11">
        <f t="shared" si="8"/>
        <v>0</v>
      </c>
      <c r="J91" s="11">
        <f t="shared" si="8"/>
        <v>0</v>
      </c>
      <c r="K91" s="11">
        <f t="shared" si="8"/>
        <v>0</v>
      </c>
      <c r="L91" s="11">
        <f t="shared" si="8"/>
        <v>0</v>
      </c>
      <c r="M91" s="12">
        <f t="shared" si="6"/>
        <v>180000</v>
      </c>
    </row>
    <row r="92" spans="1:13" s="8" customFormat="1" ht="12.75">
      <c r="A92" s="13" t="s">
        <v>138</v>
      </c>
      <c r="B92" s="14" t="s">
        <v>139</v>
      </c>
      <c r="C92" s="24">
        <v>50000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/>
      <c r="M92" s="25">
        <f t="shared" si="6"/>
        <v>50000</v>
      </c>
    </row>
    <row r="93" spans="1:13" s="8" customFormat="1" ht="12.75">
      <c r="A93" s="13" t="s">
        <v>140</v>
      </c>
      <c r="B93" s="14" t="s">
        <v>141</v>
      </c>
      <c r="C93" s="24">
        <v>130000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/>
      <c r="M93" s="25">
        <f t="shared" si="6"/>
        <v>130000</v>
      </c>
    </row>
    <row r="94" spans="1:13" s="8" customFormat="1" ht="12.75">
      <c r="A94" s="9" t="s">
        <v>142</v>
      </c>
      <c r="B94" s="10" t="s">
        <v>143</v>
      </c>
      <c r="C94" s="11">
        <f>C95+C96+C97</f>
        <v>412112</v>
      </c>
      <c r="D94" s="11">
        <f aca="true" t="shared" si="9" ref="D94:L94">D95+D96+D97</f>
        <v>251093</v>
      </c>
      <c r="E94" s="11">
        <f t="shared" si="9"/>
        <v>20094</v>
      </c>
      <c r="F94" s="11">
        <f t="shared" si="9"/>
        <v>0</v>
      </c>
      <c r="G94" s="11">
        <f t="shared" si="9"/>
        <v>0</v>
      </c>
      <c r="H94" s="11">
        <f t="shared" si="9"/>
        <v>0</v>
      </c>
      <c r="I94" s="11">
        <f t="shared" si="9"/>
        <v>0</v>
      </c>
      <c r="J94" s="11">
        <f t="shared" si="9"/>
        <v>0</v>
      </c>
      <c r="K94" s="11">
        <f t="shared" si="9"/>
        <v>0</v>
      </c>
      <c r="L94" s="11">
        <f t="shared" si="9"/>
        <v>0</v>
      </c>
      <c r="M94" s="12">
        <f t="shared" si="6"/>
        <v>412112</v>
      </c>
    </row>
    <row r="95" spans="1:13" s="8" customFormat="1" ht="25.5">
      <c r="A95" s="13" t="s">
        <v>144</v>
      </c>
      <c r="B95" s="14" t="s">
        <v>145</v>
      </c>
      <c r="C95" s="24">
        <v>17000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/>
      <c r="M95" s="25">
        <f aca="true" t="shared" si="10" ref="M95:M139">C95+F95</f>
        <v>17000</v>
      </c>
    </row>
    <row r="96" spans="1:13" s="8" customFormat="1" ht="38.25">
      <c r="A96" s="13" t="s">
        <v>146</v>
      </c>
      <c r="B96" s="14" t="s">
        <v>147</v>
      </c>
      <c r="C96" s="24">
        <v>31900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/>
      <c r="M96" s="25">
        <f t="shared" si="10"/>
        <v>31900</v>
      </c>
    </row>
    <row r="97" spans="1:13" s="8" customFormat="1" ht="25.5">
      <c r="A97" s="13" t="s">
        <v>148</v>
      </c>
      <c r="B97" s="14" t="s">
        <v>149</v>
      </c>
      <c r="C97" s="24">
        <f>320100+17532+25580</f>
        <v>363212</v>
      </c>
      <c r="D97" s="24">
        <f>219463+12863+18767</f>
        <v>251093</v>
      </c>
      <c r="E97" s="24">
        <v>20094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/>
      <c r="M97" s="25">
        <f>C97+F97</f>
        <v>363212</v>
      </c>
    </row>
    <row r="98" spans="1:13" s="8" customFormat="1" ht="51">
      <c r="A98" s="13"/>
      <c r="B98" s="14" t="s">
        <v>23</v>
      </c>
      <c r="C98" s="24">
        <f>17532+25580</f>
        <v>43112</v>
      </c>
      <c r="D98" s="24">
        <f>12863+18767</f>
        <v>31630</v>
      </c>
      <c r="E98" s="24"/>
      <c r="F98" s="24">
        <v>0</v>
      </c>
      <c r="G98" s="24"/>
      <c r="H98" s="24"/>
      <c r="I98" s="24"/>
      <c r="J98" s="24"/>
      <c r="K98" s="24"/>
      <c r="L98" s="24"/>
      <c r="M98" s="25">
        <f>C98+F98</f>
        <v>43112</v>
      </c>
    </row>
    <row r="99" spans="1:13" s="8" customFormat="1" ht="12.75">
      <c r="A99" s="9" t="s">
        <v>150</v>
      </c>
      <c r="B99" s="10" t="s">
        <v>151</v>
      </c>
      <c r="C99" s="11">
        <f>C100+C101+C103</f>
        <v>99309</v>
      </c>
      <c r="D99" s="11">
        <f aca="true" t="shared" si="11" ref="D99:L99">D100+D101+D103</f>
        <v>0</v>
      </c>
      <c r="E99" s="11">
        <f t="shared" si="11"/>
        <v>0</v>
      </c>
      <c r="F99" s="11">
        <f>F100+F101+F103</f>
        <v>1015379</v>
      </c>
      <c r="G99" s="11">
        <f t="shared" si="11"/>
        <v>0</v>
      </c>
      <c r="H99" s="11">
        <f t="shared" si="11"/>
        <v>0</v>
      </c>
      <c r="I99" s="11">
        <f t="shared" si="11"/>
        <v>0</v>
      </c>
      <c r="J99" s="11">
        <f t="shared" si="11"/>
        <v>1015379</v>
      </c>
      <c r="K99" s="11">
        <f t="shared" si="11"/>
        <v>1015379</v>
      </c>
      <c r="L99" s="11">
        <f t="shared" si="11"/>
        <v>40379</v>
      </c>
      <c r="M99" s="12">
        <f t="shared" si="10"/>
        <v>1114688</v>
      </c>
    </row>
    <row r="100" spans="1:13" s="8" customFormat="1" ht="12.75">
      <c r="A100" s="13" t="s">
        <v>152</v>
      </c>
      <c r="B100" s="29" t="s">
        <v>153</v>
      </c>
      <c r="C100" s="24">
        <v>0</v>
      </c>
      <c r="D100" s="24">
        <v>0</v>
      </c>
      <c r="E100" s="24">
        <v>0</v>
      </c>
      <c r="F100" s="24">
        <f>G100+J100</f>
        <v>529500</v>
      </c>
      <c r="G100" s="24">
        <v>0</v>
      </c>
      <c r="H100" s="24">
        <v>0</v>
      </c>
      <c r="I100" s="24">
        <v>0</v>
      </c>
      <c r="J100" s="24">
        <f>525000+4500</f>
        <v>529500</v>
      </c>
      <c r="K100" s="24">
        <f>525000+4500</f>
        <v>529500</v>
      </c>
      <c r="L100" s="24">
        <v>4500</v>
      </c>
      <c r="M100" s="25">
        <f t="shared" si="10"/>
        <v>529500</v>
      </c>
    </row>
    <row r="101" spans="1:13" s="8" customFormat="1" ht="51">
      <c r="A101" s="30">
        <v>150110</v>
      </c>
      <c r="B101" s="31" t="s">
        <v>154</v>
      </c>
      <c r="C101" s="15"/>
      <c r="D101" s="15"/>
      <c r="E101" s="15"/>
      <c r="F101" s="15">
        <f>G101+J101</f>
        <v>485879</v>
      </c>
      <c r="G101" s="15"/>
      <c r="H101" s="15"/>
      <c r="I101" s="15"/>
      <c r="J101" s="15">
        <f>450000+80000-44121</f>
        <v>485879</v>
      </c>
      <c r="K101" s="15">
        <f>450000+80000-44121</f>
        <v>485879</v>
      </c>
      <c r="L101" s="15">
        <f>80000-44121</f>
        <v>35879</v>
      </c>
      <c r="M101" s="16">
        <f>F101</f>
        <v>485879</v>
      </c>
    </row>
    <row r="102" spans="1:13" s="8" customFormat="1" ht="76.5">
      <c r="A102" s="17"/>
      <c r="B102" s="32" t="s">
        <v>155</v>
      </c>
      <c r="C102" s="15"/>
      <c r="D102" s="15"/>
      <c r="E102" s="15"/>
      <c r="F102" s="15">
        <v>450000</v>
      </c>
      <c r="G102" s="15"/>
      <c r="H102" s="15"/>
      <c r="I102" s="15"/>
      <c r="J102" s="15">
        <v>450000</v>
      </c>
      <c r="K102" s="15">
        <v>450000</v>
      </c>
      <c r="L102" s="15"/>
      <c r="M102" s="16">
        <f>F102</f>
        <v>450000</v>
      </c>
    </row>
    <row r="103" spans="1:13" s="8" customFormat="1" ht="25.5">
      <c r="A103" s="33">
        <v>150202</v>
      </c>
      <c r="B103" s="31" t="s">
        <v>156</v>
      </c>
      <c r="C103" s="24">
        <f>84489+14820</f>
        <v>99309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5">
        <f>C103</f>
        <v>99309</v>
      </c>
    </row>
    <row r="104" spans="1:13" s="8" customFormat="1" ht="51">
      <c r="A104" s="33"/>
      <c r="B104" s="34" t="s">
        <v>157</v>
      </c>
      <c r="C104" s="24">
        <v>84489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5">
        <f>C104</f>
        <v>84489</v>
      </c>
    </row>
    <row r="105" spans="1:13" s="8" customFormat="1" ht="38.25">
      <c r="A105" s="9" t="s">
        <v>158</v>
      </c>
      <c r="B105" s="10" t="s">
        <v>159</v>
      </c>
      <c r="C105" s="11">
        <f>C106+C107</f>
        <v>197080</v>
      </c>
      <c r="D105" s="11">
        <f aca="true" t="shared" si="12" ref="D105:L105">D106+D107</f>
        <v>0</v>
      </c>
      <c r="E105" s="11">
        <f t="shared" si="12"/>
        <v>0</v>
      </c>
      <c r="F105" s="11">
        <f t="shared" si="12"/>
        <v>10000</v>
      </c>
      <c r="G105" s="11">
        <f t="shared" si="12"/>
        <v>0</v>
      </c>
      <c r="H105" s="11">
        <f t="shared" si="12"/>
        <v>0</v>
      </c>
      <c r="I105" s="11">
        <f t="shared" si="12"/>
        <v>0</v>
      </c>
      <c r="J105" s="11">
        <f t="shared" si="12"/>
        <v>10000</v>
      </c>
      <c r="K105" s="11">
        <f t="shared" si="12"/>
        <v>10000</v>
      </c>
      <c r="L105" s="11">
        <f t="shared" si="12"/>
        <v>0</v>
      </c>
      <c r="M105" s="12">
        <f t="shared" si="10"/>
        <v>207080</v>
      </c>
    </row>
    <row r="106" spans="1:13" s="8" customFormat="1" ht="38.25">
      <c r="A106" s="13" t="s">
        <v>160</v>
      </c>
      <c r="B106" s="14" t="s">
        <v>161</v>
      </c>
      <c r="C106" s="24">
        <f>186880+5200+5000</f>
        <v>197080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/>
      <c r="M106" s="25">
        <f t="shared" si="10"/>
        <v>197080</v>
      </c>
    </row>
    <row r="107" spans="1:13" s="8" customFormat="1" ht="12.75">
      <c r="A107" s="13" t="s">
        <v>162</v>
      </c>
      <c r="B107" s="14" t="s">
        <v>163</v>
      </c>
      <c r="C107" s="24">
        <v>0</v>
      </c>
      <c r="D107" s="24">
        <v>0</v>
      </c>
      <c r="E107" s="24">
        <v>0</v>
      </c>
      <c r="F107" s="24">
        <v>10000</v>
      </c>
      <c r="G107" s="24">
        <v>0</v>
      </c>
      <c r="H107" s="24">
        <v>0</v>
      </c>
      <c r="I107" s="24">
        <v>0</v>
      </c>
      <c r="J107" s="24">
        <v>10000</v>
      </c>
      <c r="K107" s="24">
        <v>10000</v>
      </c>
      <c r="L107" s="24"/>
      <c r="M107" s="25">
        <f t="shared" si="10"/>
        <v>10000</v>
      </c>
    </row>
    <row r="108" spans="1:13" s="8" customFormat="1" ht="81" customHeight="1">
      <c r="A108" s="13"/>
      <c r="B108" s="14" t="s">
        <v>164</v>
      </c>
      <c r="C108" s="24"/>
      <c r="D108" s="24"/>
      <c r="E108" s="24"/>
      <c r="F108" s="24">
        <v>10000</v>
      </c>
      <c r="G108" s="24"/>
      <c r="H108" s="24"/>
      <c r="I108" s="24"/>
      <c r="J108" s="24">
        <v>10000</v>
      </c>
      <c r="K108" s="24">
        <v>10000</v>
      </c>
      <c r="L108" s="24"/>
      <c r="M108" s="25">
        <f t="shared" si="10"/>
        <v>10000</v>
      </c>
    </row>
    <row r="109" spans="1:13" s="8" customFormat="1" ht="25.5">
      <c r="A109" s="9" t="s">
        <v>165</v>
      </c>
      <c r="B109" s="10" t="s">
        <v>166</v>
      </c>
      <c r="C109" s="11">
        <f>C110+C111</f>
        <v>3000</v>
      </c>
      <c r="D109" s="11">
        <f aca="true" t="shared" si="13" ref="D109:L109">D110+D111</f>
        <v>0</v>
      </c>
      <c r="E109" s="11">
        <f t="shared" si="13"/>
        <v>0</v>
      </c>
      <c r="F109" s="11">
        <f t="shared" si="13"/>
        <v>0</v>
      </c>
      <c r="G109" s="11">
        <f t="shared" si="13"/>
        <v>0</v>
      </c>
      <c r="H109" s="11">
        <f t="shared" si="13"/>
        <v>0</v>
      </c>
      <c r="I109" s="11">
        <f t="shared" si="13"/>
        <v>0</v>
      </c>
      <c r="J109" s="11">
        <f t="shared" si="13"/>
        <v>0</v>
      </c>
      <c r="K109" s="11">
        <f t="shared" si="13"/>
        <v>0</v>
      </c>
      <c r="L109" s="11">
        <f t="shared" si="13"/>
        <v>0</v>
      </c>
      <c r="M109" s="12">
        <f t="shared" si="10"/>
        <v>3000</v>
      </c>
    </row>
    <row r="110" spans="1:13" s="8" customFormat="1" ht="25.5">
      <c r="A110" s="13" t="s">
        <v>167</v>
      </c>
      <c r="B110" s="14" t="s">
        <v>168</v>
      </c>
      <c r="C110" s="24">
        <v>3000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/>
      <c r="M110" s="25">
        <f t="shared" si="10"/>
        <v>3000</v>
      </c>
    </row>
    <row r="111" spans="1:13" s="8" customFormat="1" ht="25.5">
      <c r="A111" s="35">
        <v>180410</v>
      </c>
      <c r="B111" s="14" t="s">
        <v>169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/>
      <c r="M111" s="25">
        <f>C111+F111</f>
        <v>0</v>
      </c>
    </row>
    <row r="112" spans="1:13" s="8" customFormat="1" ht="12.75">
      <c r="A112" s="9" t="s">
        <v>170</v>
      </c>
      <c r="B112" s="10" t="s">
        <v>171</v>
      </c>
      <c r="C112" s="11">
        <f>C113</f>
        <v>0</v>
      </c>
      <c r="D112" s="11">
        <f aca="true" t="shared" si="14" ref="D112:L112">D113</f>
        <v>0</v>
      </c>
      <c r="E112" s="11">
        <f t="shared" si="14"/>
        <v>0</v>
      </c>
      <c r="F112" s="11">
        <f>F113</f>
        <v>97200</v>
      </c>
      <c r="G112" s="11">
        <f t="shared" si="14"/>
        <v>0</v>
      </c>
      <c r="H112" s="11">
        <f t="shared" si="14"/>
        <v>0</v>
      </c>
      <c r="I112" s="11">
        <f t="shared" si="14"/>
        <v>0</v>
      </c>
      <c r="J112" s="11">
        <f t="shared" si="14"/>
        <v>97200</v>
      </c>
      <c r="K112" s="11">
        <f t="shared" si="14"/>
        <v>0</v>
      </c>
      <c r="L112" s="11">
        <f t="shared" si="14"/>
        <v>0</v>
      </c>
      <c r="M112" s="12">
        <f t="shared" si="10"/>
        <v>97200</v>
      </c>
    </row>
    <row r="113" spans="1:13" s="8" customFormat="1" ht="25.5">
      <c r="A113" s="13">
        <v>240601</v>
      </c>
      <c r="B113" s="14" t="s">
        <v>172</v>
      </c>
      <c r="C113" s="24">
        <v>0</v>
      </c>
      <c r="D113" s="24">
        <v>0</v>
      </c>
      <c r="E113" s="24">
        <v>0</v>
      </c>
      <c r="F113" s="24">
        <f>G113+J113</f>
        <v>97200</v>
      </c>
      <c r="G113" s="24">
        <f>59239-59239</f>
        <v>0</v>
      </c>
      <c r="H113" s="24">
        <v>0</v>
      </c>
      <c r="I113" s="24">
        <v>0</v>
      </c>
      <c r="J113" s="24">
        <v>97200</v>
      </c>
      <c r="K113" s="24">
        <v>0</v>
      </c>
      <c r="L113" s="24"/>
      <c r="M113" s="25">
        <f t="shared" si="10"/>
        <v>97200</v>
      </c>
    </row>
    <row r="114" spans="1:13" s="8" customFormat="1" ht="25.5">
      <c r="A114" s="9" t="s">
        <v>173</v>
      </c>
      <c r="B114" s="10" t="s">
        <v>174</v>
      </c>
      <c r="C114" s="11">
        <f>C115+C116</f>
        <v>70000</v>
      </c>
      <c r="D114" s="11">
        <f aca="true" t="shared" si="15" ref="D114:L114">D115+D116</f>
        <v>0</v>
      </c>
      <c r="E114" s="11">
        <f t="shared" si="15"/>
        <v>0</v>
      </c>
      <c r="F114" s="11">
        <f t="shared" si="15"/>
        <v>0</v>
      </c>
      <c r="G114" s="11">
        <f t="shared" si="15"/>
        <v>0</v>
      </c>
      <c r="H114" s="11">
        <f t="shared" si="15"/>
        <v>0</v>
      </c>
      <c r="I114" s="11">
        <f t="shared" si="15"/>
        <v>0</v>
      </c>
      <c r="J114" s="11">
        <f t="shared" si="15"/>
        <v>0</v>
      </c>
      <c r="K114" s="11">
        <f t="shared" si="15"/>
        <v>0</v>
      </c>
      <c r="L114" s="11">
        <f t="shared" si="15"/>
        <v>0</v>
      </c>
      <c r="M114" s="12">
        <f t="shared" si="10"/>
        <v>70000</v>
      </c>
    </row>
    <row r="115" spans="1:13" s="8" customFormat="1" ht="12.75">
      <c r="A115" s="13" t="s">
        <v>175</v>
      </c>
      <c r="B115" s="14" t="s">
        <v>176</v>
      </c>
      <c r="C115" s="24">
        <v>30000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/>
      <c r="M115" s="25">
        <f t="shared" si="10"/>
        <v>30000</v>
      </c>
    </row>
    <row r="116" spans="1:13" s="8" customFormat="1" ht="12.75">
      <c r="A116" s="13" t="s">
        <v>177</v>
      </c>
      <c r="B116" s="14" t="s">
        <v>178</v>
      </c>
      <c r="C116" s="24">
        <v>40000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/>
      <c r="M116" s="25">
        <f t="shared" si="10"/>
        <v>40000</v>
      </c>
    </row>
    <row r="117" spans="1:13" s="8" customFormat="1" ht="12.75">
      <c r="A117" s="9" t="s">
        <v>179</v>
      </c>
      <c r="B117" s="10"/>
      <c r="C117" s="11">
        <f aca="true" t="shared" si="16" ref="C117:L117">C13+C17+C38+C42+C85+C91+C94+C99+C105+C109+C112+C114</f>
        <v>76565714.07000001</v>
      </c>
      <c r="D117" s="11">
        <f t="shared" si="16"/>
        <v>24966016.99</v>
      </c>
      <c r="E117" s="11">
        <f t="shared" si="16"/>
        <v>6428994.57</v>
      </c>
      <c r="F117" s="11">
        <f t="shared" si="16"/>
        <v>2852024.7800000003</v>
      </c>
      <c r="G117" s="11">
        <f t="shared" si="16"/>
        <v>1052205.44</v>
      </c>
      <c r="H117" s="11">
        <f t="shared" si="16"/>
        <v>46480.19</v>
      </c>
      <c r="I117" s="11">
        <f t="shared" si="16"/>
        <v>67100</v>
      </c>
      <c r="J117" s="11">
        <f t="shared" si="16"/>
        <v>1799819.3399999999</v>
      </c>
      <c r="K117" s="11">
        <f t="shared" si="16"/>
        <v>1492798</v>
      </c>
      <c r="L117" s="11">
        <f t="shared" si="16"/>
        <v>362798</v>
      </c>
      <c r="M117" s="12">
        <f>M114+M112+M109+M105+M99+M94+M91+M85+M42+M38+M17+M13</f>
        <v>79417738.85000001</v>
      </c>
    </row>
    <row r="118" spans="1:13" s="8" customFormat="1" ht="12.75">
      <c r="A118" s="9" t="s">
        <v>180</v>
      </c>
      <c r="B118" s="10"/>
      <c r="C118" s="11">
        <f>C119+C120+C121+C123+C125+C122+C124</f>
        <v>42917385.02</v>
      </c>
      <c r="D118" s="11">
        <f aca="true" t="shared" si="17" ref="D118:L118">D119+D120+D121+D123+D125+D122+D124</f>
        <v>0</v>
      </c>
      <c r="E118" s="11">
        <f t="shared" si="17"/>
        <v>0</v>
      </c>
      <c r="F118" s="11">
        <f t="shared" si="17"/>
        <v>1500512</v>
      </c>
      <c r="G118" s="11">
        <f t="shared" si="17"/>
        <v>320439</v>
      </c>
      <c r="H118" s="11">
        <f t="shared" si="17"/>
        <v>0</v>
      </c>
      <c r="I118" s="11">
        <f t="shared" si="17"/>
        <v>0</v>
      </c>
      <c r="J118" s="11">
        <f t="shared" si="17"/>
        <v>1180073</v>
      </c>
      <c r="K118" s="11">
        <f t="shared" si="17"/>
        <v>768373</v>
      </c>
      <c r="L118" s="11">
        <f t="shared" si="17"/>
        <v>64215</v>
      </c>
      <c r="M118" s="12">
        <f t="shared" si="10"/>
        <v>44417897.02</v>
      </c>
    </row>
    <row r="119" spans="1:13" s="8" customFormat="1" ht="102">
      <c r="A119" s="13" t="s">
        <v>181</v>
      </c>
      <c r="B119" s="14" t="s">
        <v>182</v>
      </c>
      <c r="C119" s="24">
        <v>33929300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/>
      <c r="M119" s="25">
        <f t="shared" si="10"/>
        <v>33929300</v>
      </c>
    </row>
    <row r="120" spans="1:13" s="8" customFormat="1" ht="89.25">
      <c r="A120" s="13" t="s">
        <v>183</v>
      </c>
      <c r="B120" s="14" t="s">
        <v>184</v>
      </c>
      <c r="C120" s="24">
        <v>1020800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/>
      <c r="M120" s="25">
        <f t="shared" si="10"/>
        <v>1020800</v>
      </c>
    </row>
    <row r="121" spans="1:13" s="8" customFormat="1" ht="51">
      <c r="A121" s="13" t="s">
        <v>185</v>
      </c>
      <c r="B121" s="14" t="s">
        <v>186</v>
      </c>
      <c r="C121" s="24">
        <v>3756853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/>
      <c r="M121" s="25">
        <f t="shared" si="10"/>
        <v>3756853</v>
      </c>
    </row>
    <row r="122" spans="1:13" s="8" customFormat="1" ht="38.25">
      <c r="A122" s="35">
        <v>250313</v>
      </c>
      <c r="B122" s="14" t="s">
        <v>187</v>
      </c>
      <c r="C122" s="24">
        <f>280053+72700+1500000+62200+110000+78300+180400+154400+228000</f>
        <v>2666053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5">
        <f t="shared" si="10"/>
        <v>2666053</v>
      </c>
    </row>
    <row r="123" spans="1:13" ht="12.75">
      <c r="A123" s="13" t="s">
        <v>188</v>
      </c>
      <c r="B123" s="14" t="s">
        <v>189</v>
      </c>
      <c r="C123" s="24">
        <f>400000+320000+175000+22400</f>
        <v>917400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/>
      <c r="M123" s="25">
        <f t="shared" si="10"/>
        <v>917400</v>
      </c>
    </row>
    <row r="124" spans="1:13" ht="38.25">
      <c r="A124" s="35">
        <v>250319</v>
      </c>
      <c r="B124" s="14" t="s">
        <v>190</v>
      </c>
      <c r="C124" s="24">
        <v>254000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5">
        <f t="shared" si="10"/>
        <v>254000</v>
      </c>
    </row>
    <row r="125" spans="1:13" ht="12.75">
      <c r="A125" s="9" t="s">
        <v>191</v>
      </c>
      <c r="B125" s="36"/>
      <c r="C125" s="11">
        <f>C126+C127+C128+C137+C138</f>
        <v>372979.02</v>
      </c>
      <c r="D125" s="11">
        <f aca="true" t="shared" si="18" ref="D125:L125">D126+D127+D128+D137+D138</f>
        <v>0</v>
      </c>
      <c r="E125" s="11">
        <f t="shared" si="18"/>
        <v>0</v>
      </c>
      <c r="F125" s="11">
        <f t="shared" si="18"/>
        <v>1500512</v>
      </c>
      <c r="G125" s="11">
        <f t="shared" si="18"/>
        <v>320439</v>
      </c>
      <c r="H125" s="11">
        <f t="shared" si="18"/>
        <v>0</v>
      </c>
      <c r="I125" s="11">
        <f t="shared" si="18"/>
        <v>0</v>
      </c>
      <c r="J125" s="11">
        <f t="shared" si="18"/>
        <v>1180073</v>
      </c>
      <c r="K125" s="11">
        <f t="shared" si="18"/>
        <v>768373</v>
      </c>
      <c r="L125" s="11">
        <f t="shared" si="18"/>
        <v>64215</v>
      </c>
      <c r="M125" s="12">
        <f>C125+F125</f>
        <v>1873491.02</v>
      </c>
    </row>
    <row r="126" spans="1:13" ht="51">
      <c r="A126" s="17" t="s">
        <v>192</v>
      </c>
      <c r="B126" s="14" t="s">
        <v>193</v>
      </c>
      <c r="C126" s="15">
        <f>44980+72399.02</f>
        <v>117379.02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/>
      <c r="M126" s="16">
        <f>C126+F126</f>
        <v>117379.02</v>
      </c>
    </row>
    <row r="127" spans="1:13" ht="63.75">
      <c r="A127" s="13" t="s">
        <v>194</v>
      </c>
      <c r="B127" s="37" t="s">
        <v>195</v>
      </c>
      <c r="C127" s="24">
        <v>0</v>
      </c>
      <c r="D127" s="24">
        <v>0</v>
      </c>
      <c r="E127" s="24">
        <v>0</v>
      </c>
      <c r="F127" s="24">
        <v>605000</v>
      </c>
      <c r="G127" s="24">
        <v>193300</v>
      </c>
      <c r="H127" s="24">
        <v>0</v>
      </c>
      <c r="I127" s="24">
        <v>0</v>
      </c>
      <c r="J127" s="24">
        <v>411700</v>
      </c>
      <c r="K127" s="24">
        <v>0</v>
      </c>
      <c r="L127" s="24"/>
      <c r="M127" s="25">
        <f t="shared" si="10"/>
        <v>605000</v>
      </c>
    </row>
    <row r="128" spans="1:13" ht="12.75">
      <c r="A128" s="13" t="s">
        <v>196</v>
      </c>
      <c r="B128" s="37" t="s">
        <v>197</v>
      </c>
      <c r="C128" s="24">
        <f>67800+7000</f>
        <v>74800</v>
      </c>
      <c r="D128" s="24">
        <v>0</v>
      </c>
      <c r="E128" s="24">
        <v>0</v>
      </c>
      <c r="F128" s="24">
        <f>G128+J128</f>
        <v>895512</v>
      </c>
      <c r="G128" s="24">
        <f>G129+G130+G131+G132+G133+G134+G135+G22+G136+67900</f>
        <v>127139</v>
      </c>
      <c r="H128" s="24">
        <f>H129+H130+H131+H132+H133+H134</f>
        <v>0</v>
      </c>
      <c r="I128" s="24">
        <f>I129+I130+I131+I132+I133+I134</f>
        <v>0</v>
      </c>
      <c r="J128" s="24">
        <f>J129+J130+J131+J132+J133+J134+J135+150000+48215-39000-90000-5000</f>
        <v>768373</v>
      </c>
      <c r="K128" s="24">
        <f>K129+K130+K131+K132+K133+K134+K135+150000+48215-39000-90000-5000</f>
        <v>768373</v>
      </c>
      <c r="L128" s="24">
        <f>150000+48215-39000-90000-5000</f>
        <v>64215</v>
      </c>
      <c r="M128" s="25">
        <f t="shared" si="10"/>
        <v>970312</v>
      </c>
    </row>
    <row r="129" spans="1:13" ht="52.5" customHeight="1">
      <c r="A129" s="38"/>
      <c r="B129" s="32" t="s">
        <v>198</v>
      </c>
      <c r="C129" s="39"/>
      <c r="D129" s="40"/>
      <c r="E129" s="41"/>
      <c r="F129" s="24">
        <f>60000-36000+36000</f>
        <v>60000</v>
      </c>
      <c r="G129" s="24"/>
      <c r="H129" s="24"/>
      <c r="I129" s="24"/>
      <c r="J129" s="24">
        <f>60000-36000+36000</f>
        <v>60000</v>
      </c>
      <c r="K129" s="24">
        <f>60000-36000+36000</f>
        <v>60000</v>
      </c>
      <c r="L129" s="24"/>
      <c r="M129" s="25">
        <f t="shared" si="10"/>
        <v>60000</v>
      </c>
    </row>
    <row r="130" spans="1:13" ht="38.25">
      <c r="A130" s="38"/>
      <c r="B130" s="42" t="s">
        <v>199</v>
      </c>
      <c r="C130" s="39">
        <v>7000</v>
      </c>
      <c r="D130" s="40"/>
      <c r="E130" s="41"/>
      <c r="F130" s="24">
        <f>24000+23000-7000</f>
        <v>40000</v>
      </c>
      <c r="G130" s="24"/>
      <c r="H130" s="24"/>
      <c r="I130" s="24"/>
      <c r="J130" s="24">
        <f>24000+23000-7000</f>
        <v>40000</v>
      </c>
      <c r="K130" s="24">
        <f>24000+23000-7000</f>
        <v>40000</v>
      </c>
      <c r="L130" s="24"/>
      <c r="M130" s="25">
        <f t="shared" si="10"/>
        <v>47000</v>
      </c>
    </row>
    <row r="131" spans="1:13" ht="51">
      <c r="A131" s="38"/>
      <c r="B131" s="42" t="s">
        <v>200</v>
      </c>
      <c r="C131" s="39"/>
      <c r="D131" s="40"/>
      <c r="E131" s="41"/>
      <c r="F131" s="24">
        <v>141311</v>
      </c>
      <c r="G131" s="24"/>
      <c r="H131" s="24"/>
      <c r="I131" s="24"/>
      <c r="J131" s="24">
        <v>141311</v>
      </c>
      <c r="K131" s="24">
        <v>141311</v>
      </c>
      <c r="L131" s="24"/>
      <c r="M131" s="25">
        <f t="shared" si="10"/>
        <v>141311</v>
      </c>
    </row>
    <row r="132" spans="1:13" ht="130.5" customHeight="1">
      <c r="A132" s="38"/>
      <c r="B132" s="42" t="s">
        <v>201</v>
      </c>
      <c r="C132" s="39"/>
      <c r="D132" s="40"/>
      <c r="E132" s="41"/>
      <c r="F132" s="24">
        <f>160000+35000-900</f>
        <v>194100</v>
      </c>
      <c r="G132" s="24"/>
      <c r="H132" s="24"/>
      <c r="I132" s="24"/>
      <c r="J132" s="24">
        <f>160000+35000-900</f>
        <v>194100</v>
      </c>
      <c r="K132" s="24">
        <f>160000+35000-900</f>
        <v>194100</v>
      </c>
      <c r="L132" s="24"/>
      <c r="M132" s="25">
        <f t="shared" si="10"/>
        <v>194100</v>
      </c>
    </row>
    <row r="133" spans="1:13" ht="76.5">
      <c r="A133" s="38"/>
      <c r="B133" s="43" t="s">
        <v>202</v>
      </c>
      <c r="C133" s="39"/>
      <c r="D133" s="40"/>
      <c r="E133" s="41"/>
      <c r="F133" s="24">
        <v>62747</v>
      </c>
      <c r="G133" s="24"/>
      <c r="H133" s="24"/>
      <c r="I133" s="24"/>
      <c r="J133" s="24">
        <v>62747</v>
      </c>
      <c r="K133" s="24">
        <v>62747</v>
      </c>
      <c r="L133" s="24"/>
      <c r="M133" s="25">
        <f t="shared" si="10"/>
        <v>62747</v>
      </c>
    </row>
    <row r="134" spans="1:13" ht="51">
      <c r="A134" s="38"/>
      <c r="B134" s="43" t="s">
        <v>203</v>
      </c>
      <c r="C134" s="39"/>
      <c r="D134" s="40"/>
      <c r="E134" s="41"/>
      <c r="F134" s="24">
        <v>46000</v>
      </c>
      <c r="G134" s="24"/>
      <c r="H134" s="24"/>
      <c r="I134" s="24"/>
      <c r="J134" s="24">
        <v>46000</v>
      </c>
      <c r="K134" s="24">
        <v>46000</v>
      </c>
      <c r="L134" s="24"/>
      <c r="M134" s="25">
        <f t="shared" si="10"/>
        <v>46000</v>
      </c>
    </row>
    <row r="135" spans="1:13" ht="63.75">
      <c r="A135" s="38"/>
      <c r="B135" s="43" t="s">
        <v>204</v>
      </c>
      <c r="C135" s="39"/>
      <c r="D135" s="40"/>
      <c r="E135" s="41"/>
      <c r="F135" s="24">
        <v>160000</v>
      </c>
      <c r="G135" s="24"/>
      <c r="H135" s="24"/>
      <c r="I135" s="24"/>
      <c r="J135" s="24">
        <v>160000</v>
      </c>
      <c r="K135" s="24">
        <v>160000</v>
      </c>
      <c r="L135" s="24"/>
      <c r="M135" s="25">
        <f>C135+F135</f>
        <v>160000</v>
      </c>
    </row>
    <row r="136" spans="1:13" ht="38.25">
      <c r="A136" s="38"/>
      <c r="B136" s="43" t="s">
        <v>205</v>
      </c>
      <c r="C136" s="39"/>
      <c r="D136" s="40"/>
      <c r="E136" s="41"/>
      <c r="F136" s="24">
        <v>59239</v>
      </c>
      <c r="G136" s="24">
        <v>59239</v>
      </c>
      <c r="H136" s="24"/>
      <c r="I136" s="24"/>
      <c r="J136" s="24"/>
      <c r="K136" s="24"/>
      <c r="L136" s="24"/>
      <c r="M136" s="25">
        <f>C136+F136</f>
        <v>59239</v>
      </c>
    </row>
    <row r="137" spans="1:13" ht="63.75">
      <c r="A137" s="44">
        <v>250382</v>
      </c>
      <c r="B137" s="42" t="s">
        <v>206</v>
      </c>
      <c r="C137" s="39">
        <v>95000</v>
      </c>
      <c r="D137" s="40"/>
      <c r="E137" s="41"/>
      <c r="F137" s="24"/>
      <c r="G137" s="24"/>
      <c r="H137" s="24"/>
      <c r="I137" s="24"/>
      <c r="J137" s="24"/>
      <c r="K137" s="24"/>
      <c r="L137" s="24"/>
      <c r="M137" s="25">
        <f t="shared" si="10"/>
        <v>95000</v>
      </c>
    </row>
    <row r="138" spans="1:13" ht="63.75">
      <c r="A138" s="44" t="s">
        <v>207</v>
      </c>
      <c r="B138" s="42" t="s">
        <v>208</v>
      </c>
      <c r="C138" s="39">
        <f>47000+38800</f>
        <v>85800</v>
      </c>
      <c r="D138" s="40"/>
      <c r="E138" s="41"/>
      <c r="F138" s="24"/>
      <c r="G138" s="24"/>
      <c r="H138" s="24"/>
      <c r="I138" s="24"/>
      <c r="J138" s="24"/>
      <c r="K138" s="24"/>
      <c r="L138" s="24"/>
      <c r="M138" s="25">
        <f t="shared" si="10"/>
        <v>85800</v>
      </c>
    </row>
    <row r="139" spans="1:13" ht="12.75">
      <c r="A139" s="45" t="s">
        <v>209</v>
      </c>
      <c r="B139" s="46"/>
      <c r="C139" s="12">
        <f>C118+C117</f>
        <v>119483099.09</v>
      </c>
      <c r="D139" s="12">
        <f aca="true" t="shared" si="19" ref="D139:K139">D118+D117</f>
        <v>24966016.99</v>
      </c>
      <c r="E139" s="12">
        <f t="shared" si="19"/>
        <v>6428994.57</v>
      </c>
      <c r="F139" s="12">
        <f t="shared" si="19"/>
        <v>4352536.78</v>
      </c>
      <c r="G139" s="12">
        <f t="shared" si="19"/>
        <v>1372644.44</v>
      </c>
      <c r="H139" s="12">
        <f t="shared" si="19"/>
        <v>46480.19</v>
      </c>
      <c r="I139" s="12">
        <f t="shared" si="19"/>
        <v>67100</v>
      </c>
      <c r="J139" s="12">
        <f t="shared" si="19"/>
        <v>2979892.34</v>
      </c>
      <c r="K139" s="12">
        <f t="shared" si="19"/>
        <v>2261171</v>
      </c>
      <c r="L139" s="12">
        <f>L118+L117</f>
        <v>427013</v>
      </c>
      <c r="M139" s="12">
        <f t="shared" si="10"/>
        <v>123835635.87</v>
      </c>
    </row>
    <row r="142" spans="2:9" ht="12.75">
      <c r="B142" s="47" t="s">
        <v>211</v>
      </c>
      <c r="I142" s="47" t="s">
        <v>210</v>
      </c>
    </row>
  </sheetData>
  <sheetProtection selectLockedCells="1" selectUnlockedCells="1"/>
  <mergeCells count="20">
    <mergeCell ref="A5:M5"/>
    <mergeCell ref="A6:M6"/>
    <mergeCell ref="A8:A11"/>
    <mergeCell ref="B8:B11"/>
    <mergeCell ref="C8:E8"/>
    <mergeCell ref="F8:L8"/>
    <mergeCell ref="M8:M11"/>
    <mergeCell ref="C9:C11"/>
    <mergeCell ref="D9:E9"/>
    <mergeCell ref="F9:F11"/>
    <mergeCell ref="J9:J11"/>
    <mergeCell ref="K9:L9"/>
    <mergeCell ref="K10:K11"/>
    <mergeCell ref="L10:L11"/>
    <mergeCell ref="D10:D11"/>
    <mergeCell ref="E10:E11"/>
    <mergeCell ref="H10:H11"/>
    <mergeCell ref="I10:I11"/>
    <mergeCell ref="G9:G11"/>
    <mergeCell ref="H9:I9"/>
  </mergeCells>
  <printOptions/>
  <pageMargins left="1.1811023622047245" right="0.1968503937007874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11rsedo01</cp:lastModifiedBy>
  <cp:lastPrinted>2012-12-28T08:56:33Z</cp:lastPrinted>
  <dcterms:modified xsi:type="dcterms:W3CDTF">2012-12-28T08:56:39Z</dcterms:modified>
  <cp:category/>
  <cp:version/>
  <cp:contentType/>
  <cp:contentStatus/>
</cp:coreProperties>
</file>