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s>
  <definedNames/>
  <calcPr fullCalcOnLoad="1"/>
</workbook>
</file>

<file path=xl/sharedStrings.xml><?xml version="1.0" encoding="utf-8"?>
<sst xmlns="http://schemas.openxmlformats.org/spreadsheetml/2006/main" count="313" uniqueCount="287">
  <si>
    <t>Додаток 3-1</t>
  </si>
  <si>
    <t>до рішення районної ради</t>
  </si>
  <si>
    <t>Розподіл видатків районного бюджету Павлоградського району на 2012 рік</t>
  </si>
  <si>
    <t>за головними розпорядниками коштів у розрізі бюджетних програм</t>
  </si>
  <si>
    <t>грн.</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</si>
  <si>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</si>
  <si>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</si>
  <si>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 xml:space="preserve">Найменування </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</si>
  <si>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</si>
  <si>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</si>
  <si>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</si>
  <si>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</si>
  <si>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</si>
  <si>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</si>
  <si>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</si>
  <si>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</si>
  <si>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</si>
  <si>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</si>
  <si>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з них капітальні видатки за рахунок коштів, що передаються із загального фонду до бюджету розвитку (спеціального фонду)</t>
  </si>
  <si>
    <t>14=4+7</t>
  </si>
  <si>
    <t>0100000</t>
  </si>
  <si>
    <t>Павлоградська районна рада</t>
  </si>
  <si>
    <t>0110000</t>
  </si>
  <si>
    <t>0110120</t>
  </si>
  <si>
    <t>010116</t>
  </si>
  <si>
    <t>Організаційне, інформаційно-аналітичне та матеріально-технічне забезпечення діяльності районної ради та її виконавчого комітету</t>
  </si>
  <si>
    <t xml:space="preserve">в тому числі за рахунок додаткової дотації з державного бюджету на вирівнювання фінансової забезпеченості місцевих бюджетів </t>
  </si>
  <si>
    <t>в тому числі за рахунок додаткової дотації з державного бюджету  місцевим бюджетам на оплату праці працівників бюджетних установ</t>
  </si>
  <si>
    <t>0118060</t>
  </si>
  <si>
    <t>250404</t>
  </si>
  <si>
    <t xml:space="preserve">Взаємодія органів місцевого самоврядування різних рівнів та органів виконавчої влади </t>
  </si>
  <si>
    <t>0300000</t>
  </si>
  <si>
    <t>Павлоградська районна державна адміністрація</t>
  </si>
  <si>
    <t>0310000</t>
  </si>
  <si>
    <t>0312800</t>
  </si>
  <si>
    <t>080800</t>
  </si>
  <si>
    <t>Первинна медична допомога населенню</t>
  </si>
  <si>
    <t>в тому числі за рахунок додаткової дотації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</si>
  <si>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0313820</t>
  </si>
  <si>
    <t>090802</t>
  </si>
  <si>
    <t>Заходи державної політики з питань дітей та їх соціального захисту</t>
  </si>
  <si>
    <t>0313850</t>
  </si>
  <si>
    <t>091103</t>
  </si>
  <si>
    <t>Заходи державної політики з питань молоді</t>
  </si>
  <si>
    <t>0313860</t>
  </si>
  <si>
    <t>091104</t>
  </si>
  <si>
    <t>Заходи державної політики із забезпечення рівних прав та можливостей жінок і чоловіків </t>
  </si>
  <si>
    <t>0313870</t>
  </si>
  <si>
    <t>091107</t>
  </si>
  <si>
    <t>Заходи державної політики з питань сім’ї</t>
  </si>
  <si>
    <t>0317110</t>
  </si>
  <si>
    <t>120100</t>
  </si>
  <si>
    <t>Сприяння діяльності телебачення і радіомовлення </t>
  </si>
  <si>
    <t>0317120</t>
  </si>
  <si>
    <t>120201</t>
  </si>
  <si>
    <t>Підтримка періодичних видань (газет та журналів) </t>
  </si>
  <si>
    <t>0315010</t>
  </si>
  <si>
    <t>130102</t>
  </si>
  <si>
    <t>Проведення навчально-тренувальних зборів і змагань з олімпійських видів спорту</t>
  </si>
  <si>
    <t>0315040</t>
  </si>
  <si>
    <t>130106</t>
  </si>
  <si>
    <t>Проведення навчально-тренувальних зборів і змагань з неолімпійських видів спорту </t>
  </si>
  <si>
    <t>0316310</t>
  </si>
  <si>
    <t>150101</t>
  </si>
  <si>
    <t>Реалізація заходів щодо інвестиційного розвитку територій</t>
  </si>
  <si>
    <t>0316460</t>
  </si>
  <si>
    <t>Розробка схем та проектних рішень масового застосування </t>
  </si>
  <si>
    <t xml:space="preserve">в тому числі за рахунок субвенції з обласного бюджету місцевим бюджетам на розробку схем та проектних рішень масового застосування </t>
  </si>
  <si>
    <t>0316730</t>
  </si>
  <si>
    <t>170901</t>
  </si>
  <si>
    <t>Національна програма інформатизації </t>
  </si>
  <si>
    <t>в тому числі за рахунок субвенції з Богданівської сільської ради районному бюджету на виконання Програми інформатизації "Електронна Павлоградщина" на 2010-2014р</t>
  </si>
  <si>
    <t>0317340</t>
  </si>
  <si>
    <t>180404</t>
  </si>
  <si>
    <t>Сприяння розвитку малого та середнього підприємництва </t>
  </si>
  <si>
    <t>0319110</t>
  </si>
  <si>
    <t>240601</t>
  </si>
  <si>
    <t xml:space="preserve">Охорона та раціональне використання природних ресурсів </t>
  </si>
  <si>
    <t>1000000</t>
  </si>
  <si>
    <t>Відділ освіти Павлоградської райдержадміністрації</t>
  </si>
  <si>
    <t>1010000</t>
  </si>
  <si>
    <t>1011020</t>
  </si>
  <si>
    <t>070201</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</si>
  <si>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</si>
  <si>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в тому числі за рахунок субвенції з обласного бюджету місцевим бюджетам на фінансування обласного конкурсу „Ярмарок ідей 2011” </t>
  </si>
  <si>
    <t>в тому числі за рахунок субвенції з обласного бюджету місцевим бюджетам на придбання проекторів для мультимедійних дошок</t>
  </si>
  <si>
    <t>в тому числі за рахунок субвенції з обласного бюджету місцевим бюджетам на придбання ноутбуків молодим вчителям</t>
  </si>
  <si>
    <t>1011060</t>
  </si>
  <si>
    <t>070303</t>
  </si>
  <si>
    <t>Надання освіти в дитячих будинках, утимання та забезпечення їх діяльності</t>
  </si>
  <si>
    <t>1011100</t>
  </si>
  <si>
    <t>070401</t>
  </si>
  <si>
    <t>Надання позашкільної освіти позашкільними закладами освіти, заходи із позашкільної роботи з дітьми </t>
  </si>
  <si>
    <t>1011170</t>
  </si>
  <si>
    <t>070802</t>
  </si>
  <si>
    <t>Методичне забезпечення діяльності навчальних закладів та інші заходи у галузі освіти</t>
  </si>
  <si>
    <t>1011190</t>
  </si>
  <si>
    <t>070804</t>
  </si>
  <si>
    <t>Централізоване ведення бухгалтерського обліку</t>
  </si>
  <si>
    <t>1011200</t>
  </si>
  <si>
    <t>070805</t>
  </si>
  <si>
    <t>Здійснення централізованого господарського обслуговування </t>
  </si>
  <si>
    <t xml:space="preserve">Субвенція з Богуславської сільської ради районному бюджету на виконання програми розвитку та ефективного управління об'єктами спільної власності територіальних громад (комунальної власності) Павлоградського району на 2011-2013 роки  </t>
  </si>
  <si>
    <t>1011260</t>
  </si>
  <si>
    <t>070808</t>
  </si>
  <si>
    <t>Надання допомоги дітям-сиротам та дітям, позбавленим батьківського піклування, яким виповнюється 18 років </t>
  </si>
  <si>
    <t>1013880</t>
  </si>
  <si>
    <t>091108</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</si>
  <si>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</si>
  <si>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1015050</t>
  </si>
  <si>
    <t>130107</t>
  </si>
  <si>
    <t>Утримання та навчально-тренувальна робота дитячо-юнацьких спортивних шкіл </t>
  </si>
  <si>
    <t>1016350</t>
  </si>
  <si>
    <t xml:space="preserve">Проведення невідкладних відновлювальних робіт, будівництво та реконструкція загальноосвітніх навчальних закладів </t>
  </si>
  <si>
    <t xml:space="preserve">в тому числі за рахунок субвенції з Богуславської сільської ради районному  бюджету на виконання програми соціально-економічного та культурного розвитку Павлоградського району на 2012 рік </t>
  </si>
  <si>
    <t>1500000</t>
  </si>
  <si>
    <t>Управління праці та соціального захисту населення Павлоградської райдержадміністрації</t>
  </si>
  <si>
    <t>1510000</t>
  </si>
  <si>
    <t>1511070</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</si>
  <si>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</si>
  <si>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в тому числі за рахунок субвенції  з державного бюджету місцевим бюджетам на виплату державної соціальної допомоги на дітей - сиріт та дітей, позбавлених батьківського піклування, грошового забезпечення батькам - 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</si>
  <si>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1513010</t>
  </si>
  <si>
    <t>090201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</si>
  <si>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t>
  </si>
  <si>
    <t xml:space="preserve">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</si>
  <si>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1513020</t>
  </si>
  <si>
    <t>090202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</si>
  <si>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t>
  </si>
  <si>
    <t>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</si>
  <si>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1513030</t>
  </si>
  <si>
    <t>090203</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</si>
  <si>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t>
  </si>
  <si>
    <t>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</si>
  <si>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1513040</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</si>
  <si>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</si>
  <si>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</si>
  <si>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 xml:space="preserve">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t>
  </si>
  <si>
    <t>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мвійськовослужбовців,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</si>
  <si>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1513050</t>
  </si>
  <si>
    <t>090205</t>
  </si>
  <si>
    <t>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</si>
  <si>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1513070</t>
  </si>
  <si>
    <t>090207</t>
  </si>
  <si>
    <t>Надання пльг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</si>
  <si>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1513080</t>
  </si>
  <si>
    <t>090208</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</si>
  <si>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</si>
  <si>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1513090</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</si>
  <si>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</si>
  <si>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</si>
  <si>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1513100</t>
  </si>
  <si>
    <t>090210</t>
  </si>
  <si>
    <t>Надання пільг пенсіонерам з числа спеціалістів із захисту рослин, передбачених частиною четвертою статті 20 Закону України «Про захист рослин», громадянам, передбачених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</si>
  <si>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1513110</t>
  </si>
  <si>
    <t>090211</t>
  </si>
  <si>
    <t>Надання пільг пенсіонерам з числа спеціалістів із захисту рослин, передбачених частиною четвертою статті 20 Закону України «Про захист рослин», громадянам, передбачених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</si>
  <si>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1513130</t>
  </si>
  <si>
    <t>090214</t>
  </si>
  <si>
    <t>Надання пільг окремим категоріям громадян з послуг зв`язку </t>
  </si>
  <si>
    <t>1513140</t>
  </si>
  <si>
    <t>090215</t>
  </si>
  <si>
    <t>Надання пільг багатодітним сім`ям на житлово-комунальні послуги </t>
  </si>
  <si>
    <t>1513150</t>
  </si>
  <si>
    <t>090216</t>
  </si>
  <si>
    <t>Надання пільг багатодітним сім`ям на придбання твердого палива та скрапленого газу </t>
  </si>
  <si>
    <t>1513160</t>
  </si>
  <si>
    <t>090302</t>
  </si>
  <si>
    <t>Надання допомоги у зв`язку з вагітністю і пологами </t>
  </si>
  <si>
    <t>1513170</t>
  </si>
  <si>
    <t>090303</t>
  </si>
  <si>
    <t>Надання допомоги на догляд за дитиною віком до 3 років </t>
  </si>
  <si>
    <t>1513180</t>
  </si>
  <si>
    <t>090304</t>
  </si>
  <si>
    <t>Надання допомоги при народженні дитини </t>
  </si>
  <si>
    <t>1513190</t>
  </si>
  <si>
    <t>090305</t>
  </si>
  <si>
    <t>Надання допомоги на дітей, над якими встановлено опіку чи піклування </t>
  </si>
  <si>
    <t>1513200</t>
  </si>
  <si>
    <t>090306</t>
  </si>
  <si>
    <t>Надання допомоги на дітей одиноким матерям </t>
  </si>
  <si>
    <t>1513210</t>
  </si>
  <si>
    <t>090307</t>
  </si>
  <si>
    <t>Надання тимчасової державної допомоги дітям </t>
  </si>
  <si>
    <t>1513220</t>
  </si>
  <si>
    <t>090308</t>
  </si>
  <si>
    <t>Надання допомоги при усиновленні дитини </t>
  </si>
  <si>
    <t>1513230</t>
  </si>
  <si>
    <t>090401</t>
  </si>
  <si>
    <t>Надання державної соціальної допомоги малозабезпеченим сім`ям </t>
  </si>
  <si>
    <t>1513240</t>
  </si>
  <si>
    <t>090405</t>
  </si>
  <si>
    <t>Надання субсидій населенню для відшкодування витрат на оплату житлово-комунальних послуг </t>
  </si>
  <si>
    <t>1513250</t>
  </si>
  <si>
    <t>090406</t>
  </si>
  <si>
    <t>Надання субсидій населенню для відшкодування витрат на придбання твердого та рідкого пічного побутового палива і скрапленого газу </t>
  </si>
  <si>
    <t>1513550</t>
  </si>
  <si>
    <t>090412</t>
  </si>
  <si>
    <t>Видатки на соціальний захист населення </t>
  </si>
  <si>
    <t>в тому числі за рахунок обласної субвенції „На виконання обласної міжгалузевої комплексної програми „Здоров’я нації на 2002-2011 роки” та соціальний захист населення у 2011 році</t>
  </si>
  <si>
    <t>1513600</t>
  </si>
  <si>
    <t>090416</t>
  </si>
  <si>
    <t>Видатки на соціальний захист ветеранів війни та праці </t>
  </si>
  <si>
    <t xml:space="preserve">в тому числі за рахунок субвенції з Богданівської сільської ради районному бюджету на виконання районної програми соціального захисту та підтримки найменш захищених та малозабезпечених громадян Павлоградського району на 2011-2014 </t>
  </si>
  <si>
    <t>1513830</t>
  </si>
  <si>
    <t>091101</t>
  </si>
  <si>
    <t>Утримання центрів соціальних служб для сім`ї, дітей та молоді </t>
  </si>
  <si>
    <t>в тому числі за рахунок додаткової дотації з державного бюджету  місцевим бюджетам на покращення надання соціальних послуг найуразливішим верствам населення</t>
  </si>
  <si>
    <t>1513840</t>
  </si>
  <si>
    <t>091102</t>
  </si>
  <si>
    <t>Програми і заходи центрів соціальних служб для сім`ї, дітей та молоді </t>
  </si>
  <si>
    <t>1513330</t>
  </si>
  <si>
    <t>091204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</si>
  <si>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</si>
  <si>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1513340</t>
  </si>
  <si>
    <t>091205</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</si>
  <si>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</si>
  <si>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1513470</t>
  </si>
  <si>
    <t>091209</t>
  </si>
  <si>
    <t>Надання фінансової підтримки громадським організаціям інвалідів і ветеранів, діяльность яких має соціальну спрямованість </t>
  </si>
  <si>
    <t>1513370</t>
  </si>
  <si>
    <t>091300</t>
  </si>
  <si>
    <t>Надання державної соціальної допомоги інвалідам з дитинства та дітям-інвалідам </t>
  </si>
  <si>
    <t>1513400</t>
  </si>
  <si>
    <t>170102</t>
  </si>
  <si>
    <t>Компенсаційні виплати на пільговий проїзд автомобільним транспортом окремим категоріям громадян </t>
  </si>
  <si>
    <t>2400000</t>
  </si>
  <si>
    <t>Відділ культури і туризму Павлоградської райдержадміністрації</t>
  </si>
  <si>
    <t>2410000</t>
  </si>
  <si>
    <t>2414030</t>
  </si>
  <si>
    <t>110103</t>
  </si>
  <si>
    <t>Філармонії, музичні колективи і ансамблі та інші мистецькі заклади та заходи </t>
  </si>
  <si>
    <t xml:space="preserve">в тому числі за рахунок субвенції з Межиріцької сільської ради районному бюджету на виконання програми розвитку культури Павлоградського району на 2011-2015 роки </t>
  </si>
  <si>
    <t>2414060</t>
  </si>
  <si>
    <t>110201</t>
  </si>
  <si>
    <t>Бібліотеки </t>
  </si>
  <si>
    <t>2414100</t>
  </si>
  <si>
    <t>110205</t>
  </si>
  <si>
    <t>Школи естетичного виховання дітей </t>
  </si>
  <si>
    <t>2414800</t>
  </si>
  <si>
    <t>110502</t>
  </si>
  <si>
    <t>Організаційно-методичні центри</t>
  </si>
  <si>
    <t>7600000</t>
  </si>
  <si>
    <t>Фінансове управління Павлоградської районної державної адміністрації (в частині міжбюджетних трансфертів, резервного фонду)</t>
  </si>
  <si>
    <t>7610000</t>
  </si>
  <si>
    <t>7618310</t>
  </si>
  <si>
    <t>250102</t>
  </si>
  <si>
    <t>Резервний фонд </t>
  </si>
  <si>
    <t>7618320</t>
  </si>
  <si>
    <t>250301</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</si>
  <si>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t>
  </si>
  <si>
    <t>7618330</t>
  </si>
  <si>
    <t>250310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</si>
  <si>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суб`єктам літакобудування</t>
  </si>
  <si>
    <t>7618340</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</si>
  <si>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</si>
  <si>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</si>
  <si>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7618350</t>
  </si>
  <si>
    <t>Додаткова дотація з державного бюджету на вирівнювання фінансової забезпеченості місцевих бюджетів</t>
  </si>
  <si>
    <t>7618360</t>
  </si>
  <si>
    <t>250315</t>
  </si>
  <si>
    <t>Додаткові дотації </t>
  </si>
  <si>
    <t>7618370</t>
  </si>
  <si>
    <t>Додаткова дотація з державного бюджету  місцевим бюджетам на оплату праці працівників бюджетних установ</t>
  </si>
  <si>
    <t>7618400</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</si>
  <si>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</si>
  <si>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</si>
  <si>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7618410</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</si>
  <si>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</si>
  <si>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</si>
  <si>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7618420</t>
  </si>
  <si>
    <t>250380</t>
  </si>
  <si>
    <t>Субвенції </t>
  </si>
  <si>
    <t>в тому числі за рахунок субвенції з обласного бюджету на електротеплозабезпечення населених пунктів</t>
  </si>
  <si>
    <t>в тому числі за рахунок субвенції з обласного бюджету на соціально-економічний розвиток регіону в 2012 році</t>
  </si>
  <si>
    <t>в тому числі за рахунок субвенції з обласного бюджету місцевим бюджетам на облаштування спортивно-дитячих майданчиків</t>
  </si>
  <si>
    <t>в тому числі за рахунок субвенції з обласного бюджету місцевим бюджетам 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ЄС/ПРООН “Місцевий розвиток, орієнтований на громаду, ІІ фаза”</t>
  </si>
  <si>
    <t xml:space="preserve">в тому числі за рахунок субвенції з обласного бюджету місцевим бюджетам на співфінансування органів місцевого самоврядування області - учасників спільного Проекту Дніпропетровської обласної ради та Фонду Східна Європа </t>
  </si>
  <si>
    <t xml:space="preserve">в тому числі за рахунок субвенції з обласного бюджету місцевим бюджетам на збереження пам’яток Великої Вітчизняної війни </t>
  </si>
  <si>
    <t xml:space="preserve">в тому числі за рахунок субвенції з обласного бюджету місцевим бюджетам на фінансування переможців обласного конкурсу проектів і програм розвитку місцевого самоврядування 2011 року </t>
  </si>
  <si>
    <t>в тому числі за рахунок субвенції з обласного бюджету місцевим бюджетам на природоохоронні заходи</t>
  </si>
  <si>
    <t>7618430</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</si>
  <si>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</si>
  <si>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7618440</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</si>
  <si>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</si>
  <si>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Всього видатків</t>
  </si>
  <si>
    <t>Н.Гримайло</t>
  </si>
  <si>
    <t>В.о. голови районної ради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</si>
</sst>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
    <font>
      <sz val="10"/>
      <name val="Arial"/>
      <family val="2"/>
    </font>
    <font>
      <sz val="10"/>
      <name val="Arial Cyr"/>
      <family val="2"/>
    </font>
    <font>
      <sz val="11"/>
      <name val="Times New Roman"/>
      <family val="1"/>
    </font>
    <font>
      <b/>
      <sz val="10"/>
      <name val="Arial Cyr"/>
      <family val="2"/>
    </font>
    <font>
      <sz val="7"/>
      <name val="Arial Cyr"/>
      <family val="2"/>
    </font>
    <font>
      <sz val="10"/>
      <color indexed="8"/>
      <name val="Arial Narrow"/>
      <family val="2"/>
    </font>
    <font>
      <sz val="10"/>
      <name val="Arial Narrow"/>
      <family val="2"/>
    </font>
  </fonts>
  <fills count="3">
    <fill>
      <patternFill/>
    </fill>
    <fill>
      <patternFill patternType="gray125"/>
    </fill>
    <fill>
      <patternFill patternType="solid">
        <fgColor indexed="27"/>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9"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cellStyleXfs>
  <cellXfs count="63">
    <xf numFmtId="0" fontId="0" fillId="0" borderId="0" xfId="0" applyAlignment="1">
      <alignment/>
    </xf>
    <xf numFmtId="0" fontId="1" fillId="0" borderId="0" xfId="0" applyFont="1" applyAlignment="1">
      <alignment/>
    </xf>
    <xf numFmtId="0" fontId="2" fillId="0" borderId="0" xfId="0" applyFont="1" applyFill="1" applyAlignment="1">
      <alignment/>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9"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2" fontId="3" fillId="0" borderId="1" xfId="0" applyNumberFormat="1" applyFont="1" applyFill="1" applyBorder="1" applyAlignment="1">
      <alignment vertical="center"/>
    </xf>
    <xf numFmtId="2" fontId="3" fillId="2" borderId="1" xfId="0" applyNumberFormat="1" applyFont="1" applyFill="1" applyBorder="1" applyAlignment="1">
      <alignment vertical="center"/>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2" fontId="0" fillId="0" borderId="1" xfId="0" applyNumberFormat="1" applyFill="1" applyBorder="1" applyAlignment="1">
      <alignment vertical="center"/>
    </xf>
    <xf numFmtId="2" fontId="0" fillId="2" borderId="1" xfId="0" applyNumberFormat="1" applyFill="1" applyBorder="1" applyAlignment="1">
      <alignment vertical="center"/>
    </xf>
    <xf numFmtId="0" fontId="0" fillId="0" borderId="1" xfId="0" applyFont="1" applyFill="1" applyBorder="1" applyAlignment="1">
      <alignment vertical="center" wrapText="1"/>
    </xf>
    <xf numFmtId="2" fontId="1" fillId="0" borderId="1" xfId="0" applyNumberFormat="1" applyFont="1" applyFill="1" applyBorder="1" applyAlignment="1">
      <alignment vertical="center"/>
    </xf>
    <xf numFmtId="2" fontId="1" fillId="2" borderId="1" xfId="0" applyNumberFormat="1" applyFont="1" applyFill="1" applyBorder="1" applyAlignment="1">
      <alignment vertical="center"/>
    </xf>
    <xf numFmtId="2" fontId="0" fillId="0" borderId="1" xfId="0" applyNumberFormat="1" applyFont="1" applyFill="1" applyBorder="1" applyAlignment="1">
      <alignment vertical="center"/>
    </xf>
    <xf numFmtId="0" fontId="5" fillId="0" borderId="1" xfId="0" applyFont="1" applyFill="1" applyBorder="1" applyAlignment="1">
      <alignment wrapText="1"/>
    </xf>
    <xf numFmtId="0" fontId="6" fillId="0" borderId="0" xfId="0" applyFont="1" applyFill="1" applyAlignment="1">
      <alignment wrapText="1"/>
    </xf>
    <xf numFmtId="0" fontId="0" fillId="0" borderId="2" xfId="0" applyFont="1" applyFill="1" applyBorder="1" applyAlignment="1">
      <alignment wrapText="1"/>
    </xf>
    <xf numFmtId="3" fontId="1" fillId="0" borderId="1" xfId="0" applyNumberFormat="1" applyFont="1" applyFill="1" applyBorder="1" applyAlignment="1">
      <alignment/>
    </xf>
    <xf numFmtId="0" fontId="1" fillId="0" borderId="1" xfId="0" applyFont="1" applyFill="1" applyBorder="1" applyAlignment="1">
      <alignment/>
    </xf>
    <xf numFmtId="2" fontId="1" fillId="0" borderId="3" xfId="0" applyNumberFormat="1" applyFont="1" applyFill="1" applyBorder="1" applyAlignment="1">
      <alignment vertical="center"/>
    </xf>
    <xf numFmtId="0" fontId="0" fillId="0" borderId="1" xfId="0" applyFont="1" applyFill="1" applyBorder="1" applyAlignment="1">
      <alignment horizontal="justify" vertical="top" wrapText="1"/>
    </xf>
    <xf numFmtId="0" fontId="0" fillId="0" borderId="1" xfId="0" applyFont="1" applyFill="1" applyBorder="1" applyAlignment="1">
      <alignment horizontal="left" wrapText="1"/>
    </xf>
    <xf numFmtId="0" fontId="1" fillId="0" borderId="1" xfId="0" applyNumberFormat="1" applyFont="1" applyFill="1" applyBorder="1" applyAlignment="1">
      <alignment vertical="center" wrapText="1"/>
    </xf>
    <xf numFmtId="49" fontId="1" fillId="0" borderId="4" xfId="0" applyNumberFormat="1" applyFont="1" applyFill="1" applyBorder="1" applyAlignment="1">
      <alignment horizontal="left" vertical="center"/>
    </xf>
    <xf numFmtId="0" fontId="1" fillId="0" borderId="4" xfId="0" applyFont="1" applyFill="1" applyBorder="1" applyAlignment="1">
      <alignment horizontal="left" vertical="center"/>
    </xf>
    <xf numFmtId="0" fontId="1" fillId="0" borderId="4" xfId="0" applyFont="1" applyFill="1" applyBorder="1" applyAlignment="1">
      <alignment vertical="center" wrapText="1"/>
    </xf>
    <xf numFmtId="49" fontId="1" fillId="0" borderId="5" xfId="0" applyNumberFormat="1" applyFont="1" applyFill="1" applyBorder="1" applyAlignment="1">
      <alignment horizontal="left" vertical="center"/>
    </xf>
    <xf numFmtId="0" fontId="1" fillId="0" borderId="5" xfId="0" applyFont="1" applyFill="1" applyBorder="1" applyAlignment="1">
      <alignment horizontal="left" vertical="center"/>
    </xf>
    <xf numFmtId="0" fontId="1" fillId="0" borderId="5" xfId="0" applyFont="1" applyFill="1" applyBorder="1" applyAlignment="1">
      <alignment vertical="center" wrapText="1"/>
    </xf>
    <xf numFmtId="2" fontId="1" fillId="0" borderId="5" xfId="0" applyNumberFormat="1" applyFont="1" applyFill="1" applyBorder="1" applyAlignment="1">
      <alignment vertical="center"/>
    </xf>
    <xf numFmtId="2" fontId="1" fillId="2" borderId="5" xfId="0" applyNumberFormat="1" applyFont="1" applyFill="1" applyBorder="1" applyAlignment="1">
      <alignment vertical="center"/>
    </xf>
    <xf numFmtId="49" fontId="1" fillId="0" borderId="6" xfId="0" applyNumberFormat="1" applyFont="1" applyFill="1" applyBorder="1" applyAlignment="1">
      <alignment horizontal="left" vertical="center"/>
    </xf>
    <xf numFmtId="2" fontId="1" fillId="0" borderId="4" xfId="0" applyNumberFormat="1" applyFont="1" applyFill="1" applyBorder="1" applyAlignment="1">
      <alignment vertical="center"/>
    </xf>
    <xf numFmtId="2" fontId="1" fillId="2" borderId="7" xfId="0" applyNumberFormat="1" applyFont="1" applyFill="1" applyBorder="1" applyAlignment="1">
      <alignment vertical="center"/>
    </xf>
    <xf numFmtId="49" fontId="1" fillId="0" borderId="8" xfId="0" applyNumberFormat="1" applyFont="1" applyFill="1" applyBorder="1" applyAlignment="1">
      <alignment horizontal="left" vertical="center"/>
    </xf>
    <xf numFmtId="2" fontId="1" fillId="2" borderId="9" xfId="0" applyNumberFormat="1" applyFont="1" applyFill="1" applyBorder="1" applyAlignment="1">
      <alignment vertical="center"/>
    </xf>
    <xf numFmtId="0" fontId="1" fillId="0" borderId="0" xfId="0" applyFont="1" applyBorder="1" applyAlignment="1">
      <alignment/>
    </xf>
    <xf numFmtId="49" fontId="1" fillId="0" borderId="2" xfId="0" applyNumberFormat="1"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vertical="center" wrapText="1"/>
    </xf>
    <xf numFmtId="2" fontId="1" fillId="0" borderId="2" xfId="0" applyNumberFormat="1" applyFont="1" applyFill="1" applyBorder="1" applyAlignment="1">
      <alignment vertical="center"/>
    </xf>
    <xf numFmtId="2" fontId="1" fillId="2" borderId="2" xfId="0" applyNumberFormat="1" applyFont="1" applyFill="1" applyBorder="1" applyAlignment="1">
      <alignment vertical="center"/>
    </xf>
    <xf numFmtId="0" fontId="0" fillId="0" borderId="1" xfId="0" applyFill="1" applyBorder="1" applyAlignment="1">
      <alignment horizontal="left" vertical="center"/>
    </xf>
    <xf numFmtId="49"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0" fillId="0" borderId="1" xfId="0" applyFont="1" applyFill="1" applyBorder="1" applyAlignment="1">
      <alignment wrapText="1"/>
    </xf>
    <xf numFmtId="3" fontId="0" fillId="0" borderId="1" xfId="0" applyNumberFormat="1" applyFill="1" applyBorder="1" applyAlignment="1">
      <alignment/>
    </xf>
    <xf numFmtId="0" fontId="0" fillId="0" borderId="1" xfId="0" applyFill="1" applyBorder="1" applyAlignment="1">
      <alignment/>
    </xf>
    <xf numFmtId="2" fontId="0" fillId="0" borderId="3" xfId="0" applyNumberFormat="1" applyFill="1" applyBorder="1" applyAlignment="1">
      <alignment vertical="center"/>
    </xf>
    <xf numFmtId="0" fontId="3" fillId="2" borderId="1" xfId="0" applyFont="1" applyFill="1" applyBorder="1" applyAlignment="1">
      <alignment/>
    </xf>
    <xf numFmtId="2" fontId="3" fillId="2" borderId="1" xfId="0" applyNumberFormat="1" applyFont="1" applyFill="1" applyBorder="1" applyAlignment="1">
      <alignment/>
    </xf>
    <xf numFmtId="49" fontId="1" fillId="0" borderId="0" xfId="0" applyNumberFormat="1" applyFont="1" applyAlignment="1">
      <alignment/>
    </xf>
    <xf numFmtId="0" fontId="3" fillId="0" borderId="0" xfId="0" applyFont="1" applyAlignment="1">
      <alignment horizontal="left"/>
    </xf>
    <xf numFmtId="0" fontId="1" fillId="0" borderId="1" xfId="0" applyFont="1" applyBorder="1" applyAlignment="1">
      <alignment horizontal="center" vertical="center" wrapText="1"/>
    </xf>
    <xf numFmtId="0" fontId="3" fillId="0" borderId="0" xfId="0" applyFont="1" applyBorder="1" applyAlignment="1">
      <alignment horizont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8"/>
  <sheetViews>
    <sheetView tabSelected="1" view="pageBreakPreview" zoomScaleSheetLayoutView="100" workbookViewId="0" topLeftCell="A1">
      <pane xSplit="3" ySplit="12" topLeftCell="D97" activePane="bottomRight" state="frozen"/>
      <selection pane="topLeft" activeCell="A1" sqref="A1"/>
      <selection pane="topRight" activeCell="D1" sqref="D1"/>
      <selection pane="bottomLeft" activeCell="A142" sqref="A142"/>
      <selection pane="bottomRight" activeCell="H2" sqref="H2"/>
    </sheetView>
  </sheetViews>
  <sheetFormatPr defaultColWidth="9.140625" defaultRowHeight="12.75"/>
  <cols>
    <col min="1" max="1" width="14.00390625" style="1" customWidth="1"/>
    <col min="2" max="2" width="13.00390625" style="1" customWidth="1"/>
    <col min="3" max="3" width="42.8515625" style="1" customWidth="1"/>
    <col min="4" max="4" width="13.28125" style="1" customWidth="1"/>
    <col min="5" max="5" width="12.140625" style="1" customWidth="1"/>
    <col min="6" max="7" width="11.00390625" style="1" customWidth="1"/>
    <col min="8" max="8" width="11.7109375" style="1" customWidth="1"/>
    <col min="9" max="9" width="9.421875" style="1" customWidth="1"/>
    <col min="10" max="10" width="11.00390625" style="1" customWidth="1"/>
    <col min="11" max="11" width="10.7109375" style="1" customWidth="1"/>
    <col min="12" max="12" width="10.28125" style="1" customWidth="1"/>
    <col min="13" max="13" width="15.7109375" style="1" customWidth="1"/>
    <col min="14" max="14" width="13.28125" style="1" customWidth="1"/>
  </cols>
  <sheetData>
    <row r="1" ht="12.75">
      <c r="L1" s="1" t="s">
        <v>0</v>
      </c>
    </row>
    <row r="2" ht="15">
      <c r="L2" s="2" t="s">
        <v>1</v>
      </c>
    </row>
    <row r="3" ht="15">
      <c r="L3" s="2"/>
    </row>
    <row r="4" ht="15">
      <c r="L4" s="2"/>
    </row>
    <row r="5" spans="2:14" ht="12.75">
      <c r="B5" s="60" t="s">
        <v>2</v>
      </c>
      <c r="C5" s="60"/>
      <c r="D5" s="60"/>
      <c r="E5" s="60"/>
      <c r="F5" s="60"/>
      <c r="G5" s="60"/>
      <c r="H5" s="60"/>
      <c r="I5" s="60"/>
      <c r="J5" s="60"/>
      <c r="K5" s="60"/>
      <c r="L5" s="60"/>
      <c r="M5" s="60"/>
      <c r="N5" s="60"/>
    </row>
    <row r="6" spans="2:14" ht="12.75">
      <c r="B6" s="60" t="s">
        <v>3</v>
      </c>
      <c r="C6" s="60"/>
      <c r="D6" s="60"/>
      <c r="E6" s="60"/>
      <c r="F6" s="60"/>
      <c r="G6" s="60"/>
      <c r="H6" s="60"/>
      <c r="I6" s="60"/>
      <c r="J6" s="60"/>
      <c r="K6" s="60"/>
      <c r="L6" s="60"/>
      <c r="M6" s="60"/>
      <c r="N6" s="60"/>
    </row>
    <row r="7" ht="12.75">
      <c r="N7" s="3" t="s">
        <v>4</v>
      </c>
    </row>
    <row r="8" spans="1:14" ht="12.75" customHeight="1">
      <c r="A8" s="59" t="s">
        <v>5</v>
      </c>
      <c r="B8" s="59" t="s">
        <v>6</v>
      </c>
      <c r="C8" s="59" t="s">
        <v>7</v>
      </c>
      <c r="D8" s="59" t="s">
        <v>8</v>
      </c>
      <c r="E8" s="59"/>
      <c r="F8" s="59"/>
      <c r="G8" s="59" t="s">
        <v>9</v>
      </c>
      <c r="H8" s="59"/>
      <c r="I8" s="59"/>
      <c r="J8" s="59"/>
      <c r="K8" s="59"/>
      <c r="L8" s="59"/>
      <c r="M8" s="59"/>
      <c r="N8" s="61" t="s">
        <v>10</v>
      </c>
    </row>
    <row r="9" spans="1:14" ht="12.75" customHeight="1">
      <c r="A9" s="59"/>
      <c r="B9" s="59"/>
      <c r="C9" s="59"/>
      <c r="D9" s="59" t="s">
        <v>11</v>
      </c>
      <c r="E9" s="59" t="s">
        <v>12</v>
      </c>
      <c r="F9" s="59"/>
      <c r="G9" s="59" t="s">
        <v>11</v>
      </c>
      <c r="H9" s="59" t="s">
        <v>13</v>
      </c>
      <c r="I9" s="59" t="s">
        <v>12</v>
      </c>
      <c r="J9" s="59"/>
      <c r="K9" s="59" t="s">
        <v>14</v>
      </c>
      <c r="L9" s="59" t="s">
        <v>12</v>
      </c>
      <c r="M9" s="59"/>
      <c r="N9" s="61"/>
    </row>
    <row r="10" spans="1:14" ht="47.25" customHeight="1">
      <c r="A10" s="59"/>
      <c r="B10" s="59"/>
      <c r="C10" s="59"/>
      <c r="D10" s="59"/>
      <c r="E10" s="59" t="s">
        <v>15</v>
      </c>
      <c r="F10" s="59" t="s">
        <v>16</v>
      </c>
      <c r="G10" s="59"/>
      <c r="H10" s="59"/>
      <c r="I10" s="59" t="s">
        <v>15</v>
      </c>
      <c r="J10" s="59" t="s">
        <v>16</v>
      </c>
      <c r="K10" s="59"/>
      <c r="L10" s="59" t="s">
        <v>17</v>
      </c>
      <c r="M10" s="62" t="s">
        <v>18</v>
      </c>
      <c r="N10" s="61"/>
    </row>
    <row r="11" spans="1:14" ht="32.25" customHeight="1">
      <c r="A11" s="59"/>
      <c r="B11" s="59"/>
      <c r="C11" s="59"/>
      <c r="D11" s="59"/>
      <c r="E11" s="59"/>
      <c r="F11" s="59"/>
      <c r="G11" s="59"/>
      <c r="H11" s="59"/>
      <c r="I11" s="59"/>
      <c r="J11" s="59"/>
      <c r="K11" s="59"/>
      <c r="L11" s="59"/>
      <c r="M11" s="59"/>
      <c r="N11" s="59"/>
    </row>
    <row r="12" spans="1:14" ht="12.75">
      <c r="A12" s="4">
        <v>1</v>
      </c>
      <c r="B12" s="4">
        <v>2</v>
      </c>
      <c r="C12" s="4">
        <v>3</v>
      </c>
      <c r="D12" s="4">
        <v>4</v>
      </c>
      <c r="E12" s="4">
        <v>5</v>
      </c>
      <c r="F12" s="4">
        <v>6</v>
      </c>
      <c r="G12" s="4">
        <v>7</v>
      </c>
      <c r="H12" s="4">
        <v>8</v>
      </c>
      <c r="I12" s="4">
        <v>9</v>
      </c>
      <c r="J12" s="4">
        <v>10</v>
      </c>
      <c r="K12" s="4">
        <v>11</v>
      </c>
      <c r="L12" s="4">
        <v>12</v>
      </c>
      <c r="M12" s="4">
        <v>13</v>
      </c>
      <c r="N12" s="5" t="s">
        <v>19</v>
      </c>
    </row>
    <row r="13" spans="1:14" ht="12.75">
      <c r="A13" s="6" t="s">
        <v>20</v>
      </c>
      <c r="B13" s="7"/>
      <c r="C13" s="8" t="s">
        <v>21</v>
      </c>
      <c r="D13" s="9">
        <f>D14</f>
        <v>1190777</v>
      </c>
      <c r="E13" s="9">
        <f aca="true" t="shared" si="0" ref="E13:M13">E14</f>
        <v>746299</v>
      </c>
      <c r="F13" s="9">
        <f t="shared" si="0"/>
        <v>102316</v>
      </c>
      <c r="G13" s="9">
        <f t="shared" si="0"/>
        <v>306100</v>
      </c>
      <c r="H13" s="9">
        <f t="shared" si="0"/>
        <v>300900</v>
      </c>
      <c r="I13" s="9">
        <f t="shared" si="0"/>
        <v>0</v>
      </c>
      <c r="J13" s="9">
        <f t="shared" si="0"/>
        <v>67100</v>
      </c>
      <c r="K13" s="9">
        <f t="shared" si="0"/>
        <v>5200</v>
      </c>
      <c r="L13" s="9">
        <f t="shared" si="0"/>
        <v>0</v>
      </c>
      <c r="M13" s="9">
        <f t="shared" si="0"/>
        <v>0</v>
      </c>
      <c r="N13" s="10">
        <f aca="true" t="shared" si="1" ref="N13:N42">D13+G13</f>
        <v>1496877</v>
      </c>
    </row>
    <row r="14" spans="1:14" ht="12.75">
      <c r="A14" s="6" t="s">
        <v>22</v>
      </c>
      <c r="B14" s="7"/>
      <c r="C14" s="8" t="s">
        <v>21</v>
      </c>
      <c r="D14" s="9">
        <f>D15+D18</f>
        <v>1190777</v>
      </c>
      <c r="E14" s="9">
        <f aca="true" t="shared" si="2" ref="E14:M14">E15+E18</f>
        <v>746299</v>
      </c>
      <c r="F14" s="9">
        <f t="shared" si="2"/>
        <v>102316</v>
      </c>
      <c r="G14" s="9">
        <f t="shared" si="2"/>
        <v>306100</v>
      </c>
      <c r="H14" s="9">
        <f t="shared" si="2"/>
        <v>300900</v>
      </c>
      <c r="I14" s="9">
        <f t="shared" si="2"/>
        <v>0</v>
      </c>
      <c r="J14" s="9">
        <f t="shared" si="2"/>
        <v>67100</v>
      </c>
      <c r="K14" s="9">
        <f t="shared" si="2"/>
        <v>5200</v>
      </c>
      <c r="L14" s="9">
        <f t="shared" si="2"/>
        <v>0</v>
      </c>
      <c r="M14" s="9">
        <f t="shared" si="2"/>
        <v>0</v>
      </c>
      <c r="N14" s="10">
        <f t="shared" si="1"/>
        <v>1496877</v>
      </c>
    </row>
    <row r="15" spans="1:14" ht="38.25">
      <c r="A15" s="11" t="s">
        <v>23</v>
      </c>
      <c r="B15" s="12" t="s">
        <v>24</v>
      </c>
      <c r="C15" s="13" t="s">
        <v>25</v>
      </c>
      <c r="D15" s="14">
        <f>780000+9648+6+2307+61335+26354+48000+32500+77257+84970+28400</f>
        <v>1150777</v>
      </c>
      <c r="E15" s="14">
        <f>527238+45000+17254+30000+23800+38137+62033+2837</f>
        <v>746299</v>
      </c>
      <c r="F15" s="14">
        <f>45196+28720+28400</f>
        <v>102316</v>
      </c>
      <c r="G15" s="14">
        <f>H15+K15</f>
        <v>306100</v>
      </c>
      <c r="H15" s="14">
        <f>250900+50000</f>
        <v>300900</v>
      </c>
      <c r="I15" s="14">
        <v>0</v>
      </c>
      <c r="J15" s="14">
        <v>67100</v>
      </c>
      <c r="K15" s="14">
        <v>5200</v>
      </c>
      <c r="L15" s="14">
        <v>0</v>
      </c>
      <c r="M15" s="14"/>
      <c r="N15" s="15">
        <f>D15+G15</f>
        <v>1456877</v>
      </c>
    </row>
    <row r="16" spans="1:14" ht="38.25">
      <c r="A16" s="11"/>
      <c r="B16" s="12"/>
      <c r="C16" s="16" t="s">
        <v>26</v>
      </c>
      <c r="D16" s="14">
        <f>61335+26354+32500+84970</f>
        <v>205159</v>
      </c>
      <c r="E16" s="14">
        <f>45000+17254+23800+62033</f>
        <v>148087</v>
      </c>
      <c r="F16" s="14"/>
      <c r="G16" s="14">
        <v>0</v>
      </c>
      <c r="H16" s="14"/>
      <c r="I16" s="14"/>
      <c r="J16" s="14"/>
      <c r="K16" s="14"/>
      <c r="L16" s="14"/>
      <c r="M16" s="14"/>
      <c r="N16" s="15">
        <f>D16+G16</f>
        <v>205159</v>
      </c>
    </row>
    <row r="17" spans="1:14" ht="38.25">
      <c r="A17" s="11"/>
      <c r="B17" s="12"/>
      <c r="C17" s="16" t="s">
        <v>27</v>
      </c>
      <c r="D17" s="14">
        <v>48000</v>
      </c>
      <c r="E17" s="14">
        <v>30000</v>
      </c>
      <c r="F17" s="14"/>
      <c r="G17" s="14"/>
      <c r="H17" s="14"/>
      <c r="I17" s="14"/>
      <c r="J17" s="14"/>
      <c r="K17" s="14"/>
      <c r="L17" s="14"/>
      <c r="M17" s="14"/>
      <c r="N17" s="15">
        <f>D17+G17</f>
        <v>48000</v>
      </c>
    </row>
    <row r="18" spans="1:14" ht="25.5">
      <c r="A18" s="11" t="s">
        <v>28</v>
      </c>
      <c r="B18" s="12" t="s">
        <v>29</v>
      </c>
      <c r="C18" s="13" t="s">
        <v>30</v>
      </c>
      <c r="D18" s="17">
        <v>40000</v>
      </c>
      <c r="E18" s="17">
        <v>0</v>
      </c>
      <c r="F18" s="17">
        <v>0</v>
      </c>
      <c r="G18" s="17">
        <v>0</v>
      </c>
      <c r="H18" s="17">
        <v>0</v>
      </c>
      <c r="I18" s="17">
        <v>0</v>
      </c>
      <c r="J18" s="17">
        <v>0</v>
      </c>
      <c r="K18" s="17">
        <v>0</v>
      </c>
      <c r="L18" s="17">
        <v>0</v>
      </c>
      <c r="M18" s="17"/>
      <c r="N18" s="18">
        <f t="shared" si="1"/>
        <v>40000</v>
      </c>
    </row>
    <row r="19" spans="1:14" ht="25.5">
      <c r="A19" s="6" t="s">
        <v>31</v>
      </c>
      <c r="B19" s="7"/>
      <c r="C19" s="8" t="s">
        <v>32</v>
      </c>
      <c r="D19" s="9">
        <f>D20</f>
        <v>8772231.98</v>
      </c>
      <c r="E19" s="9">
        <f aca="true" t="shared" si="3" ref="E19:M19">E20</f>
        <v>885600.99</v>
      </c>
      <c r="F19" s="9">
        <f t="shared" si="3"/>
        <v>375286.57</v>
      </c>
      <c r="G19" s="9">
        <f t="shared" si="3"/>
        <v>734800</v>
      </c>
      <c r="H19" s="9">
        <f t="shared" si="3"/>
        <v>0</v>
      </c>
      <c r="I19" s="9">
        <f t="shared" si="3"/>
        <v>0</v>
      </c>
      <c r="J19" s="9">
        <f t="shared" si="3"/>
        <v>0</v>
      </c>
      <c r="K19" s="9">
        <f t="shared" si="3"/>
        <v>734800</v>
      </c>
      <c r="L19" s="9">
        <f t="shared" si="3"/>
        <v>622600</v>
      </c>
      <c r="M19" s="9">
        <f t="shared" si="3"/>
        <v>87600</v>
      </c>
      <c r="N19" s="10">
        <f t="shared" si="1"/>
        <v>9507031.98</v>
      </c>
    </row>
    <row r="20" spans="1:14" ht="25.5">
      <c r="A20" s="6" t="s">
        <v>33</v>
      </c>
      <c r="B20" s="7"/>
      <c r="C20" s="8" t="s">
        <v>32</v>
      </c>
      <c r="D20" s="9">
        <f>D21+D24+D25+D26+D27+D28+D29+D30+D31+D32+D33+D35+D37+D38</f>
        <v>8772231.98</v>
      </c>
      <c r="E20" s="9">
        <f aca="true" t="shared" si="4" ref="E20:M20">E21+E24+E25+E26+E27+E28+E29+E30+E31+E32+E33+E35+E37+E38</f>
        <v>885600.99</v>
      </c>
      <c r="F20" s="9">
        <f t="shared" si="4"/>
        <v>375286.57</v>
      </c>
      <c r="G20" s="9">
        <f t="shared" si="4"/>
        <v>734800</v>
      </c>
      <c r="H20" s="9">
        <f t="shared" si="4"/>
        <v>0</v>
      </c>
      <c r="I20" s="9">
        <f t="shared" si="4"/>
        <v>0</v>
      </c>
      <c r="J20" s="9">
        <f t="shared" si="4"/>
        <v>0</v>
      </c>
      <c r="K20" s="9">
        <f t="shared" si="4"/>
        <v>734800</v>
      </c>
      <c r="L20" s="9">
        <f t="shared" si="4"/>
        <v>622600</v>
      </c>
      <c r="M20" s="9">
        <f t="shared" si="4"/>
        <v>87600</v>
      </c>
      <c r="N20" s="10">
        <f>D20+G20</f>
        <v>9507031.98</v>
      </c>
    </row>
    <row r="21" spans="1:14" ht="12.75">
      <c r="A21" s="11" t="s">
        <v>34</v>
      </c>
      <c r="B21" s="12" t="s">
        <v>35</v>
      </c>
      <c r="C21" s="13" t="s">
        <v>36</v>
      </c>
      <c r="D21" s="14">
        <f>6157200+24380+454300+568700-29100+266739+86711-87600-72399.02+70715+436800+169600+3282.12-3282.12+255075+43827+77775</f>
        <v>8422722.98</v>
      </c>
      <c r="E21" s="14">
        <f>885723.64-122.65</f>
        <v>885600.99</v>
      </c>
      <c r="F21" s="14">
        <f>378713.64-3427.07</f>
        <v>375286.57</v>
      </c>
      <c r="G21" s="14">
        <f>H21+K21</f>
        <v>98100</v>
      </c>
      <c r="H21" s="14">
        <v>0</v>
      </c>
      <c r="I21" s="14">
        <v>0</v>
      </c>
      <c r="J21" s="14">
        <v>0</v>
      </c>
      <c r="K21" s="14">
        <f>15000+87600-4500</f>
        <v>98100</v>
      </c>
      <c r="L21" s="19">
        <f>87600-4500</f>
        <v>83100</v>
      </c>
      <c r="M21" s="19">
        <f>87600-4500</f>
        <v>83100</v>
      </c>
      <c r="N21" s="15">
        <f>D21+G21</f>
        <v>8520822.98</v>
      </c>
    </row>
    <row r="22" spans="1:14" ht="38.25">
      <c r="A22" s="11"/>
      <c r="B22" s="12"/>
      <c r="C22" s="13" t="s">
        <v>26</v>
      </c>
      <c r="D22" s="14">
        <f>454300-29100+266739+86711+70715+436800+169600+255075+43827</f>
        <v>1754667</v>
      </c>
      <c r="E22" s="14">
        <v>123200</v>
      </c>
      <c r="F22" s="14"/>
      <c r="G22" s="14">
        <v>0</v>
      </c>
      <c r="H22" s="14"/>
      <c r="I22" s="14"/>
      <c r="J22" s="14"/>
      <c r="K22" s="14"/>
      <c r="L22" s="14"/>
      <c r="M22" s="14"/>
      <c r="N22" s="15">
        <f>D22+G22</f>
        <v>1754667</v>
      </c>
    </row>
    <row r="23" spans="1:14" ht="76.5">
      <c r="A23" s="11"/>
      <c r="B23" s="12"/>
      <c r="C23" s="13" t="s">
        <v>37</v>
      </c>
      <c r="D23" s="17">
        <v>568700</v>
      </c>
      <c r="E23" s="17"/>
      <c r="F23" s="17"/>
      <c r="G23" s="17"/>
      <c r="H23" s="17"/>
      <c r="I23" s="17"/>
      <c r="J23" s="17"/>
      <c r="K23" s="17"/>
      <c r="L23" s="17"/>
      <c r="M23" s="17"/>
      <c r="N23" s="18">
        <f>D23</f>
        <v>568700</v>
      </c>
    </row>
    <row r="24" spans="1:14" ht="25.5">
      <c r="A24" s="11" t="s">
        <v>38</v>
      </c>
      <c r="B24" s="12" t="s">
        <v>39</v>
      </c>
      <c r="C24" s="13" t="s">
        <v>40</v>
      </c>
      <c r="D24" s="17">
        <v>15300</v>
      </c>
      <c r="E24" s="17">
        <v>0</v>
      </c>
      <c r="F24" s="17">
        <v>0</v>
      </c>
      <c r="G24" s="17">
        <v>0</v>
      </c>
      <c r="H24" s="17">
        <v>0</v>
      </c>
      <c r="I24" s="17">
        <v>0</v>
      </c>
      <c r="J24" s="17">
        <v>0</v>
      </c>
      <c r="K24" s="17">
        <v>0</v>
      </c>
      <c r="L24" s="17">
        <v>0</v>
      </c>
      <c r="M24" s="17"/>
      <c r="N24" s="18">
        <f t="shared" si="1"/>
        <v>15300</v>
      </c>
    </row>
    <row r="25" spans="1:14" ht="12.75">
      <c r="A25" s="11" t="s">
        <v>41</v>
      </c>
      <c r="B25" s="12" t="s">
        <v>42</v>
      </c>
      <c r="C25" s="13" t="s">
        <v>43</v>
      </c>
      <c r="D25" s="17">
        <v>1300</v>
      </c>
      <c r="E25" s="17">
        <v>0</v>
      </c>
      <c r="F25" s="17">
        <v>0</v>
      </c>
      <c r="G25" s="17">
        <v>0</v>
      </c>
      <c r="H25" s="17">
        <v>0</v>
      </c>
      <c r="I25" s="17">
        <v>0</v>
      </c>
      <c r="J25" s="17">
        <v>0</v>
      </c>
      <c r="K25" s="17">
        <v>0</v>
      </c>
      <c r="L25" s="17">
        <v>0</v>
      </c>
      <c r="M25" s="17"/>
      <c r="N25" s="18">
        <f t="shared" si="1"/>
        <v>1300</v>
      </c>
    </row>
    <row r="26" spans="1:14" ht="25.5">
      <c r="A26" s="11" t="s">
        <v>44</v>
      </c>
      <c r="B26" s="12" t="s">
        <v>45</v>
      </c>
      <c r="C26" s="13" t="s">
        <v>46</v>
      </c>
      <c r="D26" s="17">
        <v>600</v>
      </c>
      <c r="E26" s="17">
        <v>0</v>
      </c>
      <c r="F26" s="17">
        <v>0</v>
      </c>
      <c r="G26" s="17">
        <v>0</v>
      </c>
      <c r="H26" s="17">
        <v>0</v>
      </c>
      <c r="I26" s="17">
        <v>0</v>
      </c>
      <c r="J26" s="17">
        <v>0</v>
      </c>
      <c r="K26" s="17">
        <v>0</v>
      </c>
      <c r="L26" s="17">
        <v>0</v>
      </c>
      <c r="M26" s="17"/>
      <c r="N26" s="18">
        <f t="shared" si="1"/>
        <v>600</v>
      </c>
    </row>
    <row r="27" spans="1:14" ht="12.75">
      <c r="A27" s="11" t="s">
        <v>47</v>
      </c>
      <c r="B27" s="12" t="s">
        <v>48</v>
      </c>
      <c r="C27" s="13" t="s">
        <v>49</v>
      </c>
      <c r="D27" s="17">
        <v>1100</v>
      </c>
      <c r="E27" s="17">
        <v>0</v>
      </c>
      <c r="F27" s="17">
        <v>0</v>
      </c>
      <c r="G27" s="17">
        <v>0</v>
      </c>
      <c r="H27" s="17">
        <v>0</v>
      </c>
      <c r="I27" s="17">
        <v>0</v>
      </c>
      <c r="J27" s="17">
        <v>0</v>
      </c>
      <c r="K27" s="17">
        <v>0</v>
      </c>
      <c r="L27" s="17">
        <v>0</v>
      </c>
      <c r="M27" s="17"/>
      <c r="N27" s="18">
        <f t="shared" si="1"/>
        <v>1100</v>
      </c>
    </row>
    <row r="28" spans="1:14" ht="25.5">
      <c r="A28" s="11" t="s">
        <v>50</v>
      </c>
      <c r="B28" s="12" t="s">
        <v>51</v>
      </c>
      <c r="C28" s="13" t="s">
        <v>52</v>
      </c>
      <c r="D28" s="17">
        <v>50000</v>
      </c>
      <c r="E28" s="17">
        <v>0</v>
      </c>
      <c r="F28" s="17">
        <v>0</v>
      </c>
      <c r="G28" s="17">
        <v>0</v>
      </c>
      <c r="H28" s="17">
        <v>0</v>
      </c>
      <c r="I28" s="17">
        <v>0</v>
      </c>
      <c r="J28" s="17">
        <v>0</v>
      </c>
      <c r="K28" s="17">
        <v>0</v>
      </c>
      <c r="L28" s="17">
        <v>0</v>
      </c>
      <c r="M28" s="17"/>
      <c r="N28" s="18">
        <f t="shared" si="1"/>
        <v>50000</v>
      </c>
    </row>
    <row r="29" spans="1:14" ht="25.5">
      <c r="A29" s="11" t="s">
        <v>53</v>
      </c>
      <c r="B29" s="12" t="s">
        <v>54</v>
      </c>
      <c r="C29" s="13" t="s">
        <v>55</v>
      </c>
      <c r="D29" s="17">
        <v>130000</v>
      </c>
      <c r="E29" s="17">
        <v>0</v>
      </c>
      <c r="F29" s="17">
        <v>0</v>
      </c>
      <c r="G29" s="17">
        <v>0</v>
      </c>
      <c r="H29" s="17">
        <v>0</v>
      </c>
      <c r="I29" s="17">
        <v>0</v>
      </c>
      <c r="J29" s="17">
        <v>0</v>
      </c>
      <c r="K29" s="17">
        <v>0</v>
      </c>
      <c r="L29" s="17">
        <v>0</v>
      </c>
      <c r="M29" s="17"/>
      <c r="N29" s="18">
        <f t="shared" si="1"/>
        <v>130000</v>
      </c>
    </row>
    <row r="30" spans="1:14" ht="25.5">
      <c r="A30" s="11" t="s">
        <v>56</v>
      </c>
      <c r="B30" s="12" t="s">
        <v>57</v>
      </c>
      <c r="C30" s="13" t="s">
        <v>58</v>
      </c>
      <c r="D30" s="17">
        <v>17000</v>
      </c>
      <c r="E30" s="17">
        <v>0</v>
      </c>
      <c r="F30" s="17">
        <v>0</v>
      </c>
      <c r="G30" s="17">
        <v>0</v>
      </c>
      <c r="H30" s="17">
        <v>0</v>
      </c>
      <c r="I30" s="17">
        <v>0</v>
      </c>
      <c r="J30" s="17">
        <v>0</v>
      </c>
      <c r="K30" s="17">
        <v>0</v>
      </c>
      <c r="L30" s="17">
        <v>0</v>
      </c>
      <c r="M30" s="17"/>
      <c r="N30" s="18">
        <f t="shared" si="1"/>
        <v>17000</v>
      </c>
    </row>
    <row r="31" spans="1:14" ht="25.5">
      <c r="A31" s="11" t="s">
        <v>59</v>
      </c>
      <c r="B31" s="12" t="s">
        <v>60</v>
      </c>
      <c r="C31" s="13" t="s">
        <v>61</v>
      </c>
      <c r="D31" s="17">
        <v>31900</v>
      </c>
      <c r="E31" s="17">
        <v>0</v>
      </c>
      <c r="F31" s="17">
        <v>0</v>
      </c>
      <c r="G31" s="17">
        <v>0</v>
      </c>
      <c r="H31" s="17">
        <v>0</v>
      </c>
      <c r="I31" s="17">
        <v>0</v>
      </c>
      <c r="J31" s="17">
        <v>0</v>
      </c>
      <c r="K31" s="17">
        <v>0</v>
      </c>
      <c r="L31" s="17">
        <v>0</v>
      </c>
      <c r="M31" s="17"/>
      <c r="N31" s="18">
        <f t="shared" si="1"/>
        <v>31900</v>
      </c>
    </row>
    <row r="32" spans="1:14" ht="25.5">
      <c r="A32" s="11" t="s">
        <v>62</v>
      </c>
      <c r="B32" s="12" t="s">
        <v>63</v>
      </c>
      <c r="C32" s="13" t="s">
        <v>64</v>
      </c>
      <c r="D32" s="17">
        <v>0</v>
      </c>
      <c r="E32" s="17">
        <v>0</v>
      </c>
      <c r="F32" s="17">
        <v>0</v>
      </c>
      <c r="G32" s="17">
        <f>H32+K32</f>
        <v>529500</v>
      </c>
      <c r="H32" s="17">
        <v>0</v>
      </c>
      <c r="I32" s="17">
        <v>0</v>
      </c>
      <c r="J32" s="17">
        <v>0</v>
      </c>
      <c r="K32" s="17">
        <f>525000+4500</f>
        <v>529500</v>
      </c>
      <c r="L32" s="17">
        <f>525000+4500</f>
        <v>529500</v>
      </c>
      <c r="M32" s="17">
        <v>4500</v>
      </c>
      <c r="N32" s="18">
        <f t="shared" si="1"/>
        <v>529500</v>
      </c>
    </row>
    <row r="33" spans="1:14" ht="25.5">
      <c r="A33" s="11" t="s">
        <v>65</v>
      </c>
      <c r="B33" s="12">
        <v>150202</v>
      </c>
      <c r="C33" s="20" t="s">
        <v>66</v>
      </c>
      <c r="D33" s="17">
        <f>84489+14820</f>
        <v>99309</v>
      </c>
      <c r="E33" s="17"/>
      <c r="F33" s="17"/>
      <c r="G33" s="17"/>
      <c r="H33" s="17"/>
      <c r="I33" s="17"/>
      <c r="J33" s="17"/>
      <c r="K33" s="17"/>
      <c r="L33" s="17"/>
      <c r="M33" s="17"/>
      <c r="N33" s="18">
        <f>D33</f>
        <v>99309</v>
      </c>
    </row>
    <row r="34" spans="1:14" ht="38.25">
      <c r="A34" s="11"/>
      <c r="B34" s="12"/>
      <c r="C34" s="21" t="s">
        <v>67</v>
      </c>
      <c r="D34" s="17">
        <v>84489</v>
      </c>
      <c r="E34" s="17"/>
      <c r="F34" s="17"/>
      <c r="G34" s="17"/>
      <c r="H34" s="17"/>
      <c r="I34" s="17"/>
      <c r="J34" s="17"/>
      <c r="K34" s="17"/>
      <c r="L34" s="17"/>
      <c r="M34" s="17"/>
      <c r="N34" s="18">
        <f>D34</f>
        <v>84489</v>
      </c>
    </row>
    <row r="35" spans="1:14" ht="12.75">
      <c r="A35" s="11" t="s">
        <v>68</v>
      </c>
      <c r="B35" s="12" t="s">
        <v>69</v>
      </c>
      <c r="C35" s="13" t="s">
        <v>70</v>
      </c>
      <c r="D35" s="17">
        <v>0</v>
      </c>
      <c r="E35" s="17">
        <v>0</v>
      </c>
      <c r="F35" s="17">
        <v>0</v>
      </c>
      <c r="G35" s="17">
        <v>10000</v>
      </c>
      <c r="H35" s="17">
        <v>0</v>
      </c>
      <c r="I35" s="17">
        <v>0</v>
      </c>
      <c r="J35" s="17">
        <v>0</v>
      </c>
      <c r="K35" s="17">
        <v>10000</v>
      </c>
      <c r="L35" s="17">
        <v>10000</v>
      </c>
      <c r="M35" s="17"/>
      <c r="N35" s="18">
        <f t="shared" si="1"/>
        <v>10000</v>
      </c>
    </row>
    <row r="36" spans="1:14" ht="57" customHeight="1">
      <c r="A36" s="11"/>
      <c r="B36" s="12"/>
      <c r="C36" s="13" t="s">
        <v>71</v>
      </c>
      <c r="D36" s="17"/>
      <c r="E36" s="17"/>
      <c r="F36" s="17"/>
      <c r="G36" s="17">
        <v>10000</v>
      </c>
      <c r="H36" s="17"/>
      <c r="I36" s="17"/>
      <c r="J36" s="17"/>
      <c r="K36" s="17">
        <v>10000</v>
      </c>
      <c r="L36" s="17">
        <v>10000</v>
      </c>
      <c r="M36" s="17"/>
      <c r="N36" s="18">
        <f t="shared" si="1"/>
        <v>10000</v>
      </c>
    </row>
    <row r="37" spans="1:14" ht="25.5">
      <c r="A37" s="11" t="s">
        <v>72</v>
      </c>
      <c r="B37" s="12" t="s">
        <v>73</v>
      </c>
      <c r="C37" s="13" t="s">
        <v>74</v>
      </c>
      <c r="D37" s="17">
        <v>3000</v>
      </c>
      <c r="E37" s="17">
        <v>0</v>
      </c>
      <c r="F37" s="17">
        <v>0</v>
      </c>
      <c r="G37" s="17">
        <v>0</v>
      </c>
      <c r="H37" s="17">
        <v>0</v>
      </c>
      <c r="I37" s="17">
        <v>0</v>
      </c>
      <c r="J37" s="17">
        <v>0</v>
      </c>
      <c r="K37" s="17">
        <v>0</v>
      </c>
      <c r="L37" s="17">
        <v>0</v>
      </c>
      <c r="M37" s="17"/>
      <c r="N37" s="18">
        <f t="shared" si="1"/>
        <v>3000</v>
      </c>
    </row>
    <row r="38" spans="1:14" ht="25.5">
      <c r="A38" s="11" t="s">
        <v>75</v>
      </c>
      <c r="B38" s="12" t="s">
        <v>76</v>
      </c>
      <c r="C38" s="13" t="s">
        <v>77</v>
      </c>
      <c r="D38" s="17">
        <v>0</v>
      </c>
      <c r="E38" s="17">
        <v>0</v>
      </c>
      <c r="F38" s="17">
        <v>0</v>
      </c>
      <c r="G38" s="17">
        <f>H38+K38</f>
        <v>97200</v>
      </c>
      <c r="H38" s="17">
        <v>0</v>
      </c>
      <c r="I38" s="17">
        <v>0</v>
      </c>
      <c r="J38" s="17">
        <v>0</v>
      </c>
      <c r="K38" s="17">
        <v>97200</v>
      </c>
      <c r="L38" s="17">
        <v>0</v>
      </c>
      <c r="M38" s="17"/>
      <c r="N38" s="18">
        <f t="shared" si="1"/>
        <v>97200</v>
      </c>
    </row>
    <row r="39" spans="1:14" ht="25.5">
      <c r="A39" s="6" t="s">
        <v>78</v>
      </c>
      <c r="B39" s="7"/>
      <c r="C39" s="8" t="s">
        <v>79</v>
      </c>
      <c r="D39" s="9">
        <f>D40</f>
        <v>36051873</v>
      </c>
      <c r="E39" s="9">
        <f aca="true" t="shared" si="5" ref="E39:M39">E40</f>
        <v>20079422</v>
      </c>
      <c r="F39" s="9">
        <f t="shared" si="5"/>
        <v>5564551</v>
      </c>
      <c r="G39" s="9">
        <f t="shared" si="5"/>
        <v>1470039.94</v>
      </c>
      <c r="H39" s="9">
        <f t="shared" si="5"/>
        <v>483621.93999999994</v>
      </c>
      <c r="I39" s="9">
        <f t="shared" si="5"/>
        <v>0</v>
      </c>
      <c r="J39" s="9">
        <f t="shared" si="5"/>
        <v>0</v>
      </c>
      <c r="K39" s="9">
        <f t="shared" si="5"/>
        <v>986418</v>
      </c>
      <c r="L39" s="9">
        <f t="shared" si="5"/>
        <v>819198</v>
      </c>
      <c r="M39" s="9">
        <f t="shared" si="5"/>
        <v>227198</v>
      </c>
      <c r="N39" s="10">
        <f t="shared" si="1"/>
        <v>37521912.94</v>
      </c>
    </row>
    <row r="40" spans="1:14" ht="25.5">
      <c r="A40" s="6" t="s">
        <v>80</v>
      </c>
      <c r="B40" s="7"/>
      <c r="C40" s="8" t="s">
        <v>79</v>
      </c>
      <c r="D40" s="9">
        <f aca="true" t="shared" si="6" ref="D40:M40">D41+D48+D50+D52+D54+D56+D59+D60+D61+D63</f>
        <v>36051873</v>
      </c>
      <c r="E40" s="9">
        <f t="shared" si="6"/>
        <v>20079422</v>
      </c>
      <c r="F40" s="9">
        <f t="shared" si="6"/>
        <v>5564551</v>
      </c>
      <c r="G40" s="9">
        <f t="shared" si="6"/>
        <v>1470039.94</v>
      </c>
      <c r="H40" s="9">
        <f t="shared" si="6"/>
        <v>483621.93999999994</v>
      </c>
      <c r="I40" s="9">
        <f t="shared" si="6"/>
        <v>0</v>
      </c>
      <c r="J40" s="9">
        <f t="shared" si="6"/>
        <v>0</v>
      </c>
      <c r="K40" s="9">
        <f t="shared" si="6"/>
        <v>986418</v>
      </c>
      <c r="L40" s="9">
        <f t="shared" si="6"/>
        <v>819198</v>
      </c>
      <c r="M40" s="9">
        <f t="shared" si="6"/>
        <v>227198</v>
      </c>
      <c r="N40" s="10">
        <f t="shared" si="1"/>
        <v>37521912.94</v>
      </c>
    </row>
    <row r="41" spans="1:14" ht="63.75">
      <c r="A41" s="11" t="s">
        <v>81</v>
      </c>
      <c r="B41" s="12" t="s">
        <v>82</v>
      </c>
      <c r="C41" s="13" t="s">
        <v>83</v>
      </c>
      <c r="D41" s="14">
        <f>24386247+567700-280053+23000-36300+650378-234043+4400-35000+42040+250000+350000+1338100+221532+591500-3620+1413208+97200+1543090+280525</f>
        <v>31169904</v>
      </c>
      <c r="E41" s="14">
        <f>12619635+416500-235800-26600+475770-146211+315000+973100+441500+1029623+1132130+360870</f>
        <v>17355517</v>
      </c>
      <c r="F41" s="14">
        <f>4738933+5000+28000+250000+230590-68800</f>
        <v>5183723</v>
      </c>
      <c r="G41" s="14">
        <f>H41+K41</f>
        <v>925550.98</v>
      </c>
      <c r="H41" s="14">
        <f>216263.55+159011.53-94448+178192.9</f>
        <v>459019.98</v>
      </c>
      <c r="I41" s="14">
        <v>0</v>
      </c>
      <c r="J41" s="14">
        <v>0</v>
      </c>
      <c r="K41" s="14">
        <f>172477+8000+4000+39721+35000+150000+94448-97200+60085</f>
        <v>466531</v>
      </c>
      <c r="L41" s="14">
        <f>2096+7702+L45+39000+15000+8000+4000+39721+35000+150000-97200</f>
        <v>303319</v>
      </c>
      <c r="M41" s="14">
        <f>2096+7702+39000+15000+39721+35000+150000-97200</f>
        <v>191319</v>
      </c>
      <c r="N41" s="15">
        <f>D41+G41</f>
        <v>32095454.98</v>
      </c>
    </row>
    <row r="42" spans="1:14" ht="38.25">
      <c r="A42" s="11"/>
      <c r="B42" s="12"/>
      <c r="C42" s="13" t="s">
        <v>26</v>
      </c>
      <c r="D42" s="14">
        <f>567700-280053-36300+650378-234043+250000+350000+591500+1413208+1543090</f>
        <v>4815480</v>
      </c>
      <c r="E42" s="14">
        <f>416500-235800-26600+475770-146211+183400+315000+441500+1029623+1132130</f>
        <v>3585312</v>
      </c>
      <c r="F42" s="14"/>
      <c r="G42" s="14">
        <v>0</v>
      </c>
      <c r="H42" s="14"/>
      <c r="I42" s="14"/>
      <c r="J42" s="14"/>
      <c r="K42" s="14"/>
      <c r="L42" s="14"/>
      <c r="M42" s="14"/>
      <c r="N42" s="15">
        <f t="shared" si="1"/>
        <v>4815480</v>
      </c>
    </row>
    <row r="43" spans="1:14" ht="38.25">
      <c r="A43" s="11"/>
      <c r="B43" s="12"/>
      <c r="C43" s="16" t="s">
        <v>27</v>
      </c>
      <c r="D43" s="14">
        <v>1338100</v>
      </c>
      <c r="E43" s="14">
        <v>973100</v>
      </c>
      <c r="F43" s="14"/>
      <c r="G43" s="14"/>
      <c r="H43" s="14"/>
      <c r="I43" s="14"/>
      <c r="J43" s="14"/>
      <c r="K43" s="14"/>
      <c r="L43" s="14"/>
      <c r="M43" s="14"/>
      <c r="N43" s="15">
        <f aca="true" t="shared" si="7" ref="N43:N48">D43+G43</f>
        <v>1338100</v>
      </c>
    </row>
    <row r="44" spans="1:14" ht="76.5">
      <c r="A44" s="11"/>
      <c r="B44" s="12"/>
      <c r="C44" s="13" t="s">
        <v>37</v>
      </c>
      <c r="D44" s="14">
        <f>23000+97200</f>
        <v>120200</v>
      </c>
      <c r="E44" s="14"/>
      <c r="F44" s="14"/>
      <c r="G44" s="14">
        <f>H44+K44</f>
        <v>52800</v>
      </c>
      <c r="H44" s="14"/>
      <c r="I44" s="14"/>
      <c r="J44" s="14"/>
      <c r="K44" s="14">
        <f>150000-97200</f>
        <v>52800</v>
      </c>
      <c r="L44" s="14">
        <f>150000-97200</f>
        <v>52800</v>
      </c>
      <c r="M44" s="14">
        <f>150000-97200</f>
        <v>52800</v>
      </c>
      <c r="N44" s="15">
        <f t="shared" si="7"/>
        <v>173000</v>
      </c>
    </row>
    <row r="45" spans="1:14" ht="38.25">
      <c r="A45" s="11"/>
      <c r="B45" s="12"/>
      <c r="C45" s="22" t="s">
        <v>84</v>
      </c>
      <c r="D45" s="23"/>
      <c r="E45" s="24"/>
      <c r="F45" s="25"/>
      <c r="G45" s="17">
        <v>100000</v>
      </c>
      <c r="H45" s="17"/>
      <c r="I45" s="17"/>
      <c r="J45" s="17"/>
      <c r="K45" s="17">
        <v>100000</v>
      </c>
      <c r="L45" s="17">
        <v>100000</v>
      </c>
      <c r="M45" s="17"/>
      <c r="N45" s="18">
        <f t="shared" si="7"/>
        <v>100000</v>
      </c>
    </row>
    <row r="46" spans="1:14" ht="38.25">
      <c r="A46" s="11"/>
      <c r="B46" s="12"/>
      <c r="C46" s="26" t="s">
        <v>85</v>
      </c>
      <c r="D46" s="23"/>
      <c r="E46" s="24"/>
      <c r="F46" s="25"/>
      <c r="G46" s="17">
        <f>H46+K46</f>
        <v>8000</v>
      </c>
      <c r="H46" s="17"/>
      <c r="I46" s="17"/>
      <c r="J46" s="17"/>
      <c r="K46" s="17">
        <v>8000</v>
      </c>
      <c r="L46" s="17">
        <v>8000</v>
      </c>
      <c r="M46" s="17"/>
      <c r="N46" s="18">
        <f t="shared" si="7"/>
        <v>8000</v>
      </c>
    </row>
    <row r="47" spans="1:14" ht="38.25">
      <c r="A47" s="11"/>
      <c r="B47" s="12"/>
      <c r="C47" s="26" t="s">
        <v>86</v>
      </c>
      <c r="D47" s="23"/>
      <c r="E47" s="24"/>
      <c r="F47" s="25"/>
      <c r="G47" s="17">
        <f>H47+K47</f>
        <v>4000</v>
      </c>
      <c r="H47" s="17"/>
      <c r="I47" s="17"/>
      <c r="J47" s="17"/>
      <c r="K47" s="17">
        <v>4000</v>
      </c>
      <c r="L47" s="17">
        <v>4000</v>
      </c>
      <c r="M47" s="17"/>
      <c r="N47" s="18">
        <f t="shared" si="7"/>
        <v>4000</v>
      </c>
    </row>
    <row r="48" spans="1:14" ht="25.5">
      <c r="A48" s="11" t="s">
        <v>87</v>
      </c>
      <c r="B48" s="12" t="s">
        <v>88</v>
      </c>
      <c r="C48" s="13" t="s">
        <v>89</v>
      </c>
      <c r="D48" s="17">
        <f>1390856+27686-30000-41526-28720-113998</f>
        <v>1204298</v>
      </c>
      <c r="E48" s="17">
        <f>607483+22241-24125-22300</f>
        <v>583299</v>
      </c>
      <c r="F48" s="17">
        <f>257108-28720-43206</f>
        <v>185182</v>
      </c>
      <c r="G48" s="17">
        <f>H48+K48</f>
        <v>18459.36</v>
      </c>
      <c r="H48" s="17">
        <f>11529+717.91+2204.45</f>
        <v>14451.36</v>
      </c>
      <c r="I48" s="17">
        <v>0</v>
      </c>
      <c r="J48" s="17">
        <v>0</v>
      </c>
      <c r="K48" s="17">
        <f>0+4008</f>
        <v>4008</v>
      </c>
      <c r="L48" s="17">
        <v>0</v>
      </c>
      <c r="M48" s="17"/>
      <c r="N48" s="18">
        <f t="shared" si="7"/>
        <v>1222757.36</v>
      </c>
    </row>
    <row r="49" spans="1:14" ht="38.25">
      <c r="A49" s="11"/>
      <c r="B49" s="12"/>
      <c r="C49" s="13" t="s">
        <v>26</v>
      </c>
      <c r="D49" s="17">
        <v>27686</v>
      </c>
      <c r="E49" s="17">
        <v>22241</v>
      </c>
      <c r="F49" s="17"/>
      <c r="G49" s="17">
        <v>0</v>
      </c>
      <c r="H49" s="17"/>
      <c r="I49" s="17"/>
      <c r="J49" s="17"/>
      <c r="K49" s="17"/>
      <c r="L49" s="17"/>
      <c r="M49" s="17"/>
      <c r="N49" s="18">
        <f aca="true" t="shared" si="8" ref="N49:N57">D49+G49</f>
        <v>27686</v>
      </c>
    </row>
    <row r="50" spans="1:14" ht="38.25">
      <c r="A50" s="11" t="s">
        <v>90</v>
      </c>
      <c r="B50" s="12" t="s">
        <v>91</v>
      </c>
      <c r="C50" s="13" t="s">
        <v>92</v>
      </c>
      <c r="D50" s="14">
        <f>1197500+37470-87215+2390-2390-72602</f>
        <v>1075153</v>
      </c>
      <c r="E50" s="14">
        <f>761042+4000+30107-63789+2390-3107</f>
        <v>730643</v>
      </c>
      <c r="F50" s="14">
        <f>56679-700</f>
        <v>55979</v>
      </c>
      <c r="G50" s="17">
        <f>H50+K50</f>
        <v>9320</v>
      </c>
      <c r="H50" s="17">
        <v>9320</v>
      </c>
      <c r="I50" s="17">
        <v>0</v>
      </c>
      <c r="J50" s="17">
        <v>0</v>
      </c>
      <c r="K50" s="17">
        <v>0</v>
      </c>
      <c r="L50" s="17">
        <v>0</v>
      </c>
      <c r="M50" s="17"/>
      <c r="N50" s="18">
        <f>D50+G50</f>
        <v>1084473</v>
      </c>
    </row>
    <row r="51" spans="1:14" ht="38.25">
      <c r="A51" s="11"/>
      <c r="B51" s="12"/>
      <c r="C51" s="13" t="s">
        <v>26</v>
      </c>
      <c r="D51" s="17">
        <v>37470</v>
      </c>
      <c r="E51" s="17">
        <v>30107</v>
      </c>
      <c r="F51" s="17"/>
      <c r="G51" s="17">
        <v>0</v>
      </c>
      <c r="H51" s="17"/>
      <c r="I51" s="17"/>
      <c r="J51" s="17"/>
      <c r="K51" s="17"/>
      <c r="L51" s="17"/>
      <c r="M51" s="17"/>
      <c r="N51" s="18">
        <f t="shared" si="8"/>
        <v>37470</v>
      </c>
    </row>
    <row r="52" spans="1:14" ht="38.25">
      <c r="A52" s="11" t="s">
        <v>93</v>
      </c>
      <c r="B52" s="12" t="s">
        <v>94</v>
      </c>
      <c r="C52" s="13" t="s">
        <v>95</v>
      </c>
      <c r="D52" s="14">
        <f>705556+19416-26516-64000</f>
        <v>634456</v>
      </c>
      <c r="E52" s="14">
        <f>405915+14895-17392-8630</f>
        <v>394788</v>
      </c>
      <c r="F52" s="14">
        <f>20035-1290</f>
        <v>18745</v>
      </c>
      <c r="G52" s="17">
        <v>0</v>
      </c>
      <c r="H52" s="17">
        <v>0</v>
      </c>
      <c r="I52" s="17">
        <v>0</v>
      </c>
      <c r="J52" s="17">
        <v>0</v>
      </c>
      <c r="K52" s="17">
        <v>0</v>
      </c>
      <c r="L52" s="17">
        <v>0</v>
      </c>
      <c r="M52" s="17"/>
      <c r="N52" s="18">
        <f>D52+G52</f>
        <v>634456</v>
      </c>
    </row>
    <row r="53" spans="1:14" ht="38.25">
      <c r="A53" s="11"/>
      <c r="B53" s="12"/>
      <c r="C53" s="13" t="s">
        <v>26</v>
      </c>
      <c r="D53" s="17">
        <v>19416</v>
      </c>
      <c r="E53" s="17">
        <v>14895</v>
      </c>
      <c r="F53" s="17"/>
      <c r="G53" s="17">
        <v>0</v>
      </c>
      <c r="H53" s="17"/>
      <c r="I53" s="17"/>
      <c r="J53" s="17"/>
      <c r="K53" s="17"/>
      <c r="L53" s="17"/>
      <c r="M53" s="17"/>
      <c r="N53" s="18">
        <f t="shared" si="8"/>
        <v>19416</v>
      </c>
    </row>
    <row r="54" spans="1:14" ht="25.5">
      <c r="A54" s="11" t="s">
        <v>96</v>
      </c>
      <c r="B54" s="12" t="s">
        <v>97</v>
      </c>
      <c r="C54" s="13" t="s">
        <v>98</v>
      </c>
      <c r="D54" s="14">
        <f>1023288+32739-37758-61880</f>
        <v>956389</v>
      </c>
      <c r="E54" s="14">
        <f>586281+25116-30818-4980</f>
        <v>575599</v>
      </c>
      <c r="F54" s="14">
        <f>90279-30100</f>
        <v>60179</v>
      </c>
      <c r="G54" s="17">
        <v>0</v>
      </c>
      <c r="H54" s="17">
        <v>0</v>
      </c>
      <c r="I54" s="17">
        <v>0</v>
      </c>
      <c r="J54" s="17">
        <v>0</v>
      </c>
      <c r="K54" s="17">
        <v>0</v>
      </c>
      <c r="L54" s="17">
        <v>0</v>
      </c>
      <c r="M54" s="17"/>
      <c r="N54" s="18">
        <f>D54+G54</f>
        <v>956389</v>
      </c>
    </row>
    <row r="55" spans="1:14" ht="38.25">
      <c r="A55" s="11"/>
      <c r="B55" s="12"/>
      <c r="C55" s="13" t="s">
        <v>26</v>
      </c>
      <c r="D55" s="17">
        <v>32739</v>
      </c>
      <c r="E55" s="17">
        <v>25116</v>
      </c>
      <c r="F55" s="17"/>
      <c r="G55" s="17">
        <v>0</v>
      </c>
      <c r="H55" s="17"/>
      <c r="I55" s="17"/>
      <c r="J55" s="17"/>
      <c r="K55" s="17"/>
      <c r="L55" s="17"/>
      <c r="M55" s="17"/>
      <c r="N55" s="18">
        <f t="shared" si="8"/>
        <v>32739</v>
      </c>
    </row>
    <row r="56" spans="1:14" ht="25.5">
      <c r="A56" s="11" t="s">
        <v>99</v>
      </c>
      <c r="B56" s="12" t="s">
        <v>100</v>
      </c>
      <c r="C56" s="13" t="s">
        <v>101</v>
      </c>
      <c r="D56" s="14">
        <f>410059+9221-28517-35160</f>
        <v>355603</v>
      </c>
      <c r="E56" s="14">
        <f>205940+7074-21231-3300</f>
        <v>188483</v>
      </c>
      <c r="F56" s="14">
        <f>56319-15670</f>
        <v>40649</v>
      </c>
      <c r="G56" s="17">
        <v>30000</v>
      </c>
      <c r="H56" s="17">
        <v>0</v>
      </c>
      <c r="I56" s="17">
        <v>0</v>
      </c>
      <c r="J56" s="17">
        <v>0</v>
      </c>
      <c r="K56" s="17">
        <v>30000</v>
      </c>
      <c r="L56" s="17">
        <v>30000</v>
      </c>
      <c r="M56" s="17"/>
      <c r="N56" s="18">
        <f>D56+G56</f>
        <v>385603</v>
      </c>
    </row>
    <row r="57" spans="1:14" ht="80.25" customHeight="1">
      <c r="A57" s="11"/>
      <c r="B57" s="12"/>
      <c r="C57" s="13" t="s">
        <v>102</v>
      </c>
      <c r="D57" s="17"/>
      <c r="E57" s="17"/>
      <c r="F57" s="17"/>
      <c r="G57" s="17">
        <v>30000</v>
      </c>
      <c r="H57" s="17"/>
      <c r="I57" s="17"/>
      <c r="J57" s="17"/>
      <c r="K57" s="17">
        <v>30000</v>
      </c>
      <c r="L57" s="17">
        <v>30000</v>
      </c>
      <c r="M57" s="17"/>
      <c r="N57" s="18">
        <f t="shared" si="8"/>
        <v>30000</v>
      </c>
    </row>
    <row r="58" spans="1:14" ht="80.25" customHeight="1">
      <c r="A58" s="11"/>
      <c r="B58" s="12"/>
      <c r="C58" s="13" t="s">
        <v>26</v>
      </c>
      <c r="D58" s="17">
        <v>9221</v>
      </c>
      <c r="E58" s="17">
        <v>7074</v>
      </c>
      <c r="F58" s="17"/>
      <c r="G58" s="17">
        <v>0</v>
      </c>
      <c r="H58" s="17"/>
      <c r="I58" s="17"/>
      <c r="J58" s="17"/>
      <c r="K58" s="17"/>
      <c r="L58" s="17"/>
      <c r="M58" s="17"/>
      <c r="N58" s="18">
        <f>D58+G58</f>
        <v>9221</v>
      </c>
    </row>
    <row r="59" spans="1:14" ht="38.25">
      <c r="A59" s="11" t="s">
        <v>103</v>
      </c>
      <c r="B59" s="12" t="s">
        <v>104</v>
      </c>
      <c r="C59" s="13" t="s">
        <v>105</v>
      </c>
      <c r="D59" s="17">
        <f>14509+3620</f>
        <v>18129</v>
      </c>
      <c r="E59" s="17">
        <v>0</v>
      </c>
      <c r="F59" s="17">
        <v>0</v>
      </c>
      <c r="G59" s="17">
        <v>0</v>
      </c>
      <c r="H59" s="17">
        <v>0</v>
      </c>
      <c r="I59" s="17">
        <v>0</v>
      </c>
      <c r="J59" s="17">
        <v>0</v>
      </c>
      <c r="K59" s="17">
        <v>0</v>
      </c>
      <c r="L59" s="17">
        <v>0</v>
      </c>
      <c r="M59" s="17"/>
      <c r="N59" s="18">
        <f>D59+G59</f>
        <v>18129</v>
      </c>
    </row>
    <row r="60" spans="1:14" ht="63.75">
      <c r="A60" s="11" t="s">
        <v>106</v>
      </c>
      <c r="B60" s="12" t="s">
        <v>107</v>
      </c>
      <c r="C60" s="13" t="s">
        <v>108</v>
      </c>
      <c r="D60" s="17">
        <f>286769-12040</f>
        <v>274729</v>
      </c>
      <c r="E60" s="17">
        <v>0</v>
      </c>
      <c r="F60" s="17">
        <v>0</v>
      </c>
      <c r="G60" s="17">
        <f>H60+K60</f>
        <v>830.6</v>
      </c>
      <c r="H60" s="17">
        <v>830.6</v>
      </c>
      <c r="I60" s="17">
        <v>0</v>
      </c>
      <c r="J60" s="17">
        <v>0</v>
      </c>
      <c r="K60" s="17">
        <v>0</v>
      </c>
      <c r="L60" s="17">
        <v>0</v>
      </c>
      <c r="M60" s="17"/>
      <c r="N60" s="18">
        <f>D60+G60</f>
        <v>275559.6</v>
      </c>
    </row>
    <row r="61" spans="1:14" ht="25.5">
      <c r="A61" s="11" t="s">
        <v>109</v>
      </c>
      <c r="B61" s="12" t="s">
        <v>110</v>
      </c>
      <c r="C61" s="13" t="s">
        <v>111</v>
      </c>
      <c r="D61" s="17">
        <f>320100+17532+25580</f>
        <v>363212</v>
      </c>
      <c r="E61" s="17">
        <f>219463+12863+18767</f>
        <v>251093</v>
      </c>
      <c r="F61" s="17">
        <v>20094</v>
      </c>
      <c r="G61" s="17">
        <v>0</v>
      </c>
      <c r="H61" s="17">
        <v>0</v>
      </c>
      <c r="I61" s="17">
        <v>0</v>
      </c>
      <c r="J61" s="17">
        <v>0</v>
      </c>
      <c r="K61" s="17">
        <v>0</v>
      </c>
      <c r="L61" s="17">
        <v>0</v>
      </c>
      <c r="M61" s="17"/>
      <c r="N61" s="18">
        <f>D61+G61</f>
        <v>363212</v>
      </c>
    </row>
    <row r="62" spans="1:14" ht="38.25">
      <c r="A62" s="11"/>
      <c r="B62" s="12"/>
      <c r="C62" s="13" t="s">
        <v>26</v>
      </c>
      <c r="D62" s="17">
        <f>17532+25580</f>
        <v>43112</v>
      </c>
      <c r="E62" s="17">
        <f>12863+6813</f>
        <v>19676</v>
      </c>
      <c r="F62" s="17"/>
      <c r="G62" s="17"/>
      <c r="H62" s="17"/>
      <c r="I62" s="17"/>
      <c r="J62" s="17"/>
      <c r="K62" s="17"/>
      <c r="L62" s="17"/>
      <c r="M62" s="17"/>
      <c r="N62" s="18">
        <f>D62+G62</f>
        <v>43112</v>
      </c>
    </row>
    <row r="63" spans="1:14" ht="38.25">
      <c r="A63" s="11" t="s">
        <v>112</v>
      </c>
      <c r="B63" s="12">
        <v>150110</v>
      </c>
      <c r="C63" s="20" t="s">
        <v>113</v>
      </c>
      <c r="D63" s="17"/>
      <c r="E63" s="17"/>
      <c r="F63" s="17"/>
      <c r="G63" s="17">
        <f>H63+K63</f>
        <v>485879</v>
      </c>
      <c r="H63" s="17"/>
      <c r="I63" s="17"/>
      <c r="J63" s="17"/>
      <c r="K63" s="17">
        <f>450000+80000-44121</f>
        <v>485879</v>
      </c>
      <c r="L63" s="17">
        <f>450000+80000-44121</f>
        <v>485879</v>
      </c>
      <c r="M63" s="17">
        <f>80000-44121</f>
        <v>35879</v>
      </c>
      <c r="N63" s="18">
        <f>G63</f>
        <v>485879</v>
      </c>
    </row>
    <row r="64" spans="1:14" ht="63.75">
      <c r="A64" s="11"/>
      <c r="B64" s="12"/>
      <c r="C64" s="27" t="s">
        <v>114</v>
      </c>
      <c r="D64" s="17"/>
      <c r="E64" s="17"/>
      <c r="F64" s="17"/>
      <c r="G64" s="17">
        <v>450000</v>
      </c>
      <c r="H64" s="17"/>
      <c r="I64" s="17"/>
      <c r="J64" s="17"/>
      <c r="K64" s="17">
        <v>450000</v>
      </c>
      <c r="L64" s="17">
        <v>450000</v>
      </c>
      <c r="M64" s="17"/>
      <c r="N64" s="18">
        <f>G64</f>
        <v>450000</v>
      </c>
    </row>
    <row r="65" spans="1:14" ht="38.25">
      <c r="A65" s="6" t="s">
        <v>115</v>
      </c>
      <c r="B65" s="7"/>
      <c r="C65" s="8" t="s">
        <v>116</v>
      </c>
      <c r="D65" s="9">
        <f>D66</f>
        <v>28930249.090000007</v>
      </c>
      <c r="E65" s="9">
        <f aca="true" t="shared" si="9" ref="E65:M65">E66</f>
        <v>2249410</v>
      </c>
      <c r="F65" s="9">
        <f t="shared" si="9"/>
        <v>262418</v>
      </c>
      <c r="G65" s="9">
        <f t="shared" si="9"/>
        <v>248000</v>
      </c>
      <c r="H65" s="9">
        <f t="shared" si="9"/>
        <v>200000</v>
      </c>
      <c r="I65" s="9">
        <f t="shared" si="9"/>
        <v>0</v>
      </c>
      <c r="J65" s="9">
        <f t="shared" si="9"/>
        <v>0</v>
      </c>
      <c r="K65" s="9">
        <f t="shared" si="9"/>
        <v>48000</v>
      </c>
      <c r="L65" s="9">
        <f t="shared" si="9"/>
        <v>48000</v>
      </c>
      <c r="M65" s="9">
        <f t="shared" si="9"/>
        <v>48000</v>
      </c>
      <c r="N65" s="10">
        <f>D65+G65</f>
        <v>29178249.090000007</v>
      </c>
    </row>
    <row r="66" spans="1:14" ht="38.25">
      <c r="A66" s="6" t="s">
        <v>117</v>
      </c>
      <c r="B66" s="7"/>
      <c r="C66" s="8" t="s">
        <v>116</v>
      </c>
      <c r="D66" s="9">
        <f>D67+D69+D71+D73+D75+D78+D80+D81+D82+D83+D84+D85+D86+D87+D88+D89+D90+D91+D92+D93+D94+D95+D96+D97+D98+D100+D102+D105+D106+D109+D110+D111+D112</f>
        <v>28930249.090000007</v>
      </c>
      <c r="E66" s="9">
        <f aca="true" t="shared" si="10" ref="E66:M66">E67+E69+E71+E73+E75+E78+E80+E81+E82+E83+E84+E85+E86+E87+E88+E89+E90+E91+E92+E93+E94+E95+E96+E97+E98+E100+E102+E105+E106+E109+E110+E111+E112</f>
        <v>2249410</v>
      </c>
      <c r="F66" s="9">
        <f t="shared" si="10"/>
        <v>262418</v>
      </c>
      <c r="G66" s="9">
        <f t="shared" si="10"/>
        <v>248000</v>
      </c>
      <c r="H66" s="9">
        <f t="shared" si="10"/>
        <v>200000</v>
      </c>
      <c r="I66" s="9">
        <f t="shared" si="10"/>
        <v>0</v>
      </c>
      <c r="J66" s="9">
        <f t="shared" si="10"/>
        <v>0</v>
      </c>
      <c r="K66" s="9">
        <f t="shared" si="10"/>
        <v>48000</v>
      </c>
      <c r="L66" s="9">
        <f t="shared" si="10"/>
        <v>48000</v>
      </c>
      <c r="M66" s="9">
        <f t="shared" si="10"/>
        <v>48000</v>
      </c>
      <c r="N66" s="10">
        <f>D66+G66</f>
        <v>29178249.090000007</v>
      </c>
    </row>
    <row r="67" spans="1:14" ht="51">
      <c r="A67" s="11" t="s">
        <v>118</v>
      </c>
      <c r="B67" s="12" t="s">
        <v>88</v>
      </c>
      <c r="C67" s="13" t="s">
        <v>119</v>
      </c>
      <c r="D67" s="17">
        <f>466415-1000+44000-23000-9600-13340+17052</f>
        <v>480527</v>
      </c>
      <c r="E67" s="17">
        <v>0</v>
      </c>
      <c r="F67" s="17">
        <v>0</v>
      </c>
      <c r="G67" s="17">
        <v>0</v>
      </c>
      <c r="H67" s="17">
        <v>0</v>
      </c>
      <c r="I67" s="17">
        <v>0</v>
      </c>
      <c r="J67" s="17">
        <v>0</v>
      </c>
      <c r="K67" s="17">
        <v>0</v>
      </c>
      <c r="L67" s="17">
        <v>0</v>
      </c>
      <c r="M67" s="17"/>
      <c r="N67" s="18">
        <f>D67+G67</f>
        <v>480527</v>
      </c>
    </row>
    <row r="68" spans="1:14" ht="120" customHeight="1">
      <c r="A68" s="11"/>
      <c r="B68" s="12"/>
      <c r="C68" s="28" t="s">
        <v>120</v>
      </c>
      <c r="D68" s="17">
        <f>466415-1000+44000-23000-9600-13340+17052</f>
        <v>480527</v>
      </c>
      <c r="E68" s="17"/>
      <c r="F68" s="17"/>
      <c r="G68" s="17"/>
      <c r="H68" s="17"/>
      <c r="I68" s="17"/>
      <c r="J68" s="17"/>
      <c r="K68" s="17"/>
      <c r="L68" s="17"/>
      <c r="M68" s="17"/>
      <c r="N68" s="18">
        <f>D68+G68</f>
        <v>480527</v>
      </c>
    </row>
    <row r="69" spans="1:14" ht="102">
      <c r="A69" s="29" t="s">
        <v>121</v>
      </c>
      <c r="B69" s="30" t="s">
        <v>122</v>
      </c>
      <c r="C69" s="31" t="s">
        <v>123</v>
      </c>
      <c r="D69" s="17">
        <f>2324718.74-9078.3+43800-76645.31-79712.94</f>
        <v>2203082.1900000004</v>
      </c>
      <c r="E69" s="17">
        <v>0</v>
      </c>
      <c r="F69" s="17">
        <v>0</v>
      </c>
      <c r="G69" s="17">
        <v>0</v>
      </c>
      <c r="H69" s="17">
        <v>0</v>
      </c>
      <c r="I69" s="17">
        <v>0</v>
      </c>
      <c r="J69" s="17">
        <v>0</v>
      </c>
      <c r="K69" s="17">
        <v>0</v>
      </c>
      <c r="L69" s="17">
        <v>0</v>
      </c>
      <c r="M69" s="17"/>
      <c r="N69" s="18">
        <f>D69+G69</f>
        <v>2203082.1900000004</v>
      </c>
    </row>
    <row r="70" spans="1:14" ht="102">
      <c r="A70" s="32"/>
      <c r="B70" s="33"/>
      <c r="C70" s="34" t="s">
        <v>124</v>
      </c>
      <c r="D70" s="35"/>
      <c r="E70" s="35"/>
      <c r="F70" s="35"/>
      <c r="G70" s="35"/>
      <c r="H70" s="35"/>
      <c r="I70" s="35"/>
      <c r="J70" s="35"/>
      <c r="K70" s="35"/>
      <c r="L70" s="35"/>
      <c r="M70" s="35"/>
      <c r="N70" s="36"/>
    </row>
    <row r="71" spans="1:14" ht="95.25" customHeight="1">
      <c r="A71" s="37" t="s">
        <v>125</v>
      </c>
      <c r="B71" s="30" t="s">
        <v>126</v>
      </c>
      <c r="C71" s="31" t="s">
        <v>127</v>
      </c>
      <c r="D71" s="38">
        <f>281567-70308.53</f>
        <v>211258.47</v>
      </c>
      <c r="E71" s="38">
        <v>0</v>
      </c>
      <c r="F71" s="38">
        <v>0</v>
      </c>
      <c r="G71" s="38">
        <v>0</v>
      </c>
      <c r="H71" s="38">
        <v>0</v>
      </c>
      <c r="I71" s="38">
        <v>0</v>
      </c>
      <c r="J71" s="38">
        <v>0</v>
      </c>
      <c r="K71" s="38">
        <v>0</v>
      </c>
      <c r="L71" s="38">
        <v>0</v>
      </c>
      <c r="M71" s="38"/>
      <c r="N71" s="39">
        <f>D71+G71</f>
        <v>211258.47</v>
      </c>
    </row>
    <row r="72" spans="1:14" ht="89.25">
      <c r="A72" s="40"/>
      <c r="B72" s="33"/>
      <c r="C72" s="34" t="s">
        <v>128</v>
      </c>
      <c r="D72" s="35"/>
      <c r="E72" s="35"/>
      <c r="F72" s="35"/>
      <c r="G72" s="35"/>
      <c r="H72" s="35"/>
      <c r="I72" s="35"/>
      <c r="J72" s="35"/>
      <c r="K72" s="35"/>
      <c r="L72" s="35"/>
      <c r="M72" s="35"/>
      <c r="N72" s="41"/>
    </row>
    <row r="73" spans="1:14" ht="102">
      <c r="A73" s="29" t="s">
        <v>129</v>
      </c>
      <c r="B73" s="30" t="s">
        <v>130</v>
      </c>
      <c r="C73" s="31" t="s">
        <v>131</v>
      </c>
      <c r="D73" s="17">
        <f>60200+5000-5000</f>
        <v>60200</v>
      </c>
      <c r="E73" s="17">
        <v>0</v>
      </c>
      <c r="F73" s="17">
        <v>0</v>
      </c>
      <c r="G73" s="17">
        <f>5000-5000</f>
        <v>0</v>
      </c>
      <c r="H73" s="17">
        <v>0</v>
      </c>
      <c r="I73" s="17">
        <v>0</v>
      </c>
      <c r="J73" s="17">
        <v>0</v>
      </c>
      <c r="K73" s="17">
        <f>5000-5000</f>
        <v>0</v>
      </c>
      <c r="L73" s="17">
        <f>5000-5000</f>
        <v>0</v>
      </c>
      <c r="M73" s="17">
        <f>5000-5000</f>
        <v>0</v>
      </c>
      <c r="N73" s="18">
        <f>D73+G73</f>
        <v>60200</v>
      </c>
    </row>
    <row r="74" spans="1:14" ht="102">
      <c r="A74" s="32"/>
      <c r="B74" s="33"/>
      <c r="C74" s="34" t="s">
        <v>132</v>
      </c>
      <c r="D74" s="35"/>
      <c r="E74" s="35"/>
      <c r="F74" s="35"/>
      <c r="G74" s="35"/>
      <c r="H74" s="35"/>
      <c r="I74" s="35"/>
      <c r="J74" s="35"/>
      <c r="K74" s="35"/>
      <c r="L74" s="35"/>
      <c r="M74" s="35"/>
      <c r="N74" s="41"/>
    </row>
    <row r="75" spans="1:14" ht="178.5">
      <c r="A75" s="29" t="s">
        <v>133</v>
      </c>
      <c r="B75" s="30" t="s">
        <v>134</v>
      </c>
      <c r="C75" s="31" t="s">
        <v>135</v>
      </c>
      <c r="D75" s="17">
        <f>236704+8656.58+35874.69+3744.02</f>
        <v>284979.29000000004</v>
      </c>
      <c r="E75" s="17">
        <v>0</v>
      </c>
      <c r="F75" s="17">
        <v>0</v>
      </c>
      <c r="G75" s="17">
        <v>0</v>
      </c>
      <c r="H75" s="17">
        <v>0</v>
      </c>
      <c r="I75" s="17">
        <v>0</v>
      </c>
      <c r="J75" s="17">
        <v>0</v>
      </c>
      <c r="K75" s="17">
        <v>0</v>
      </c>
      <c r="L75" s="17">
        <v>0</v>
      </c>
      <c r="M75" s="17"/>
      <c r="N75" s="18">
        <f>D75+G75</f>
        <v>284979.29000000004</v>
      </c>
    </row>
    <row r="76" spans="1:14" ht="229.5" customHeight="1">
      <c r="A76" s="32"/>
      <c r="B76" s="33"/>
      <c r="C76" s="34" t="s">
        <v>136</v>
      </c>
      <c r="D76" s="35"/>
      <c r="E76" s="35"/>
      <c r="F76" s="35"/>
      <c r="G76" s="35"/>
      <c r="H76" s="35"/>
      <c r="I76" s="35"/>
      <c r="J76" s="35"/>
      <c r="K76" s="35"/>
      <c r="L76" s="35"/>
      <c r="M76" s="35"/>
      <c r="N76" s="36"/>
    </row>
    <row r="77" spans="1:14" ht="197.25" customHeight="1">
      <c r="A77" s="32"/>
      <c r="B77" s="33"/>
      <c r="C77" s="34" t="s">
        <v>137</v>
      </c>
      <c r="D77" s="35"/>
      <c r="E77" s="35"/>
      <c r="F77" s="35"/>
      <c r="G77" s="35"/>
      <c r="H77" s="35"/>
      <c r="I77" s="35"/>
      <c r="J77" s="35"/>
      <c r="K77" s="35"/>
      <c r="L77" s="35"/>
      <c r="M77" s="35"/>
      <c r="N77" s="36"/>
    </row>
    <row r="78" spans="1:16" ht="180" customHeight="1">
      <c r="A78" s="29" t="s">
        <v>138</v>
      </c>
      <c r="B78" s="30" t="s">
        <v>139</v>
      </c>
      <c r="C78" s="31" t="s">
        <v>135</v>
      </c>
      <c r="D78" s="17">
        <f>7615+589.02-964.82</f>
        <v>7239.200000000001</v>
      </c>
      <c r="E78" s="17">
        <v>0</v>
      </c>
      <c r="F78" s="17">
        <v>0</v>
      </c>
      <c r="G78" s="17">
        <v>0</v>
      </c>
      <c r="H78" s="17">
        <v>0</v>
      </c>
      <c r="I78" s="17">
        <v>0</v>
      </c>
      <c r="J78" s="17">
        <v>0</v>
      </c>
      <c r="K78" s="17">
        <v>0</v>
      </c>
      <c r="L78" s="17">
        <v>0</v>
      </c>
      <c r="M78" s="17"/>
      <c r="N78" s="18">
        <f>D78+G78</f>
        <v>7239.200000000001</v>
      </c>
      <c r="O78" s="42"/>
      <c r="P78" s="42"/>
    </row>
    <row r="79" spans="1:16" ht="216.75">
      <c r="A79" s="43"/>
      <c r="B79" s="44"/>
      <c r="C79" s="45" t="s">
        <v>140</v>
      </c>
      <c r="D79" s="46"/>
      <c r="E79" s="46"/>
      <c r="F79" s="46"/>
      <c r="G79" s="46"/>
      <c r="H79" s="46"/>
      <c r="I79" s="46"/>
      <c r="J79" s="46"/>
      <c r="K79" s="46"/>
      <c r="L79" s="46"/>
      <c r="M79" s="46"/>
      <c r="N79" s="47"/>
      <c r="O79" s="42"/>
      <c r="P79" s="42"/>
    </row>
    <row r="80" spans="1:14" ht="76.5">
      <c r="A80" s="43" t="s">
        <v>141</v>
      </c>
      <c r="B80" s="44" t="s">
        <v>142</v>
      </c>
      <c r="C80" s="45" t="s">
        <v>143</v>
      </c>
      <c r="D80" s="46">
        <f>38625+5205.9</f>
        <v>43830.9</v>
      </c>
      <c r="E80" s="46">
        <v>0</v>
      </c>
      <c r="F80" s="46">
        <v>0</v>
      </c>
      <c r="G80" s="46">
        <v>0</v>
      </c>
      <c r="H80" s="46">
        <v>0</v>
      </c>
      <c r="I80" s="46">
        <v>0</v>
      </c>
      <c r="J80" s="46">
        <v>0</v>
      </c>
      <c r="K80" s="46">
        <v>0</v>
      </c>
      <c r="L80" s="46">
        <v>0</v>
      </c>
      <c r="M80" s="46"/>
      <c r="N80" s="47">
        <f aca="true" t="shared" si="11" ref="N80:N90">D80+G80</f>
        <v>43830.9</v>
      </c>
    </row>
    <row r="81" spans="1:14" ht="76.5">
      <c r="A81" s="11" t="s">
        <v>144</v>
      </c>
      <c r="B81" s="12" t="s">
        <v>145</v>
      </c>
      <c r="C81" s="13" t="s">
        <v>146</v>
      </c>
      <c r="D81" s="17">
        <f>3263+476.44</f>
        <v>3739.44</v>
      </c>
      <c r="E81" s="17">
        <v>0</v>
      </c>
      <c r="F81" s="17">
        <v>0</v>
      </c>
      <c r="G81" s="17">
        <v>0</v>
      </c>
      <c r="H81" s="17">
        <v>0</v>
      </c>
      <c r="I81" s="17">
        <v>0</v>
      </c>
      <c r="J81" s="17">
        <v>0</v>
      </c>
      <c r="K81" s="17">
        <v>0</v>
      </c>
      <c r="L81" s="17">
        <v>0</v>
      </c>
      <c r="M81" s="17"/>
      <c r="N81" s="18">
        <f t="shared" si="11"/>
        <v>3739.44</v>
      </c>
    </row>
    <row r="82" spans="1:14" ht="76.5">
      <c r="A82" s="11" t="s">
        <v>147</v>
      </c>
      <c r="B82" s="12" t="s">
        <v>148</v>
      </c>
      <c r="C82" s="13" t="s">
        <v>149</v>
      </c>
      <c r="D82" s="17">
        <v>0</v>
      </c>
      <c r="E82" s="17">
        <v>0</v>
      </c>
      <c r="F82" s="17">
        <v>0</v>
      </c>
      <c r="G82" s="17">
        <v>0</v>
      </c>
      <c r="H82" s="17">
        <v>0</v>
      </c>
      <c r="I82" s="17">
        <v>0</v>
      </c>
      <c r="J82" s="17">
        <v>0</v>
      </c>
      <c r="K82" s="17">
        <v>0</v>
      </c>
      <c r="L82" s="17">
        <v>0</v>
      </c>
      <c r="M82" s="17"/>
      <c r="N82" s="18">
        <f t="shared" si="11"/>
        <v>0</v>
      </c>
    </row>
    <row r="83" spans="1:14" ht="165.75">
      <c r="A83" s="11" t="s">
        <v>150</v>
      </c>
      <c r="B83" s="12" t="s">
        <v>151</v>
      </c>
      <c r="C83" s="13" t="s">
        <v>152</v>
      </c>
      <c r="D83" s="17">
        <f>535702.56+93034.18+73942.82</f>
        <v>702679.56</v>
      </c>
      <c r="E83" s="17">
        <v>0</v>
      </c>
      <c r="F83" s="17">
        <v>0</v>
      </c>
      <c r="G83" s="17">
        <v>0</v>
      </c>
      <c r="H83" s="17">
        <v>0</v>
      </c>
      <c r="I83" s="17">
        <v>0</v>
      </c>
      <c r="J83" s="17">
        <v>0</v>
      </c>
      <c r="K83" s="17">
        <v>0</v>
      </c>
      <c r="L83" s="17">
        <v>0</v>
      </c>
      <c r="M83" s="17"/>
      <c r="N83" s="18">
        <f t="shared" si="11"/>
        <v>702679.56</v>
      </c>
    </row>
    <row r="84" spans="1:14" ht="165.75">
      <c r="A84" s="11" t="s">
        <v>153</v>
      </c>
      <c r="B84" s="12" t="s">
        <v>154</v>
      </c>
      <c r="C84" s="13" t="s">
        <v>155</v>
      </c>
      <c r="D84" s="17">
        <f>43600-5972.02</f>
        <v>37627.979999999996</v>
      </c>
      <c r="E84" s="17">
        <v>0</v>
      </c>
      <c r="F84" s="17">
        <v>0</v>
      </c>
      <c r="G84" s="17">
        <v>0</v>
      </c>
      <c r="H84" s="17">
        <v>0</v>
      </c>
      <c r="I84" s="17">
        <v>0</v>
      </c>
      <c r="J84" s="17">
        <v>0</v>
      </c>
      <c r="K84" s="17">
        <v>0</v>
      </c>
      <c r="L84" s="17">
        <v>0</v>
      </c>
      <c r="M84" s="17"/>
      <c r="N84" s="18">
        <f t="shared" si="11"/>
        <v>37627.979999999996</v>
      </c>
    </row>
    <row r="85" spans="1:14" ht="25.5">
      <c r="A85" s="11" t="s">
        <v>156</v>
      </c>
      <c r="B85" s="12" t="s">
        <v>157</v>
      </c>
      <c r="C85" s="13" t="s">
        <v>158</v>
      </c>
      <c r="D85" s="17">
        <f>22200-4980</f>
        <v>17220</v>
      </c>
      <c r="E85" s="17">
        <v>0</v>
      </c>
      <c r="F85" s="17">
        <v>0</v>
      </c>
      <c r="G85" s="17">
        <v>0</v>
      </c>
      <c r="H85" s="17">
        <v>0</v>
      </c>
      <c r="I85" s="17">
        <v>0</v>
      </c>
      <c r="J85" s="17">
        <v>0</v>
      </c>
      <c r="K85" s="17">
        <v>0</v>
      </c>
      <c r="L85" s="17">
        <v>0</v>
      </c>
      <c r="M85" s="17"/>
      <c r="N85" s="18">
        <f t="shared" si="11"/>
        <v>17220</v>
      </c>
    </row>
    <row r="86" spans="1:14" ht="25.5">
      <c r="A86" s="11" t="s">
        <v>159</v>
      </c>
      <c r="B86" s="12" t="s">
        <v>160</v>
      </c>
      <c r="C86" s="13" t="s">
        <v>161</v>
      </c>
      <c r="D86" s="17">
        <f>87393+421.72+10675.99+2026.1</f>
        <v>100516.81000000001</v>
      </c>
      <c r="E86" s="17">
        <v>0</v>
      </c>
      <c r="F86" s="17">
        <v>0</v>
      </c>
      <c r="G86" s="17">
        <v>0</v>
      </c>
      <c r="H86" s="17">
        <v>0</v>
      </c>
      <c r="I86" s="17">
        <v>0</v>
      </c>
      <c r="J86" s="17">
        <v>0</v>
      </c>
      <c r="K86" s="17">
        <v>0</v>
      </c>
      <c r="L86" s="17">
        <v>0</v>
      </c>
      <c r="M86" s="17"/>
      <c r="N86" s="18">
        <f t="shared" si="11"/>
        <v>100516.81000000001</v>
      </c>
    </row>
    <row r="87" spans="1:14" ht="38.25">
      <c r="A87" s="11" t="s">
        <v>162</v>
      </c>
      <c r="B87" s="12" t="s">
        <v>163</v>
      </c>
      <c r="C87" s="13" t="s">
        <v>164</v>
      </c>
      <c r="D87" s="17">
        <f>32080+7774.56-8004.27</f>
        <v>31850.289999999997</v>
      </c>
      <c r="E87" s="17">
        <v>0</v>
      </c>
      <c r="F87" s="17">
        <v>0</v>
      </c>
      <c r="G87" s="17">
        <v>0</v>
      </c>
      <c r="H87" s="17">
        <v>0</v>
      </c>
      <c r="I87" s="17">
        <v>0</v>
      </c>
      <c r="J87" s="17">
        <v>0</v>
      </c>
      <c r="K87" s="17">
        <v>0</v>
      </c>
      <c r="L87" s="17">
        <v>0</v>
      </c>
      <c r="M87" s="17"/>
      <c r="N87" s="18">
        <f t="shared" si="11"/>
        <v>31850.289999999997</v>
      </c>
    </row>
    <row r="88" spans="1:14" ht="25.5">
      <c r="A88" s="11" t="s">
        <v>165</v>
      </c>
      <c r="B88" s="12" t="s">
        <v>166</v>
      </c>
      <c r="C88" s="13" t="s">
        <v>167</v>
      </c>
      <c r="D88" s="17">
        <f>303105-85951.51</f>
        <v>217153.49</v>
      </c>
      <c r="E88" s="17">
        <v>0</v>
      </c>
      <c r="F88" s="17">
        <v>0</v>
      </c>
      <c r="G88" s="17">
        <v>0</v>
      </c>
      <c r="H88" s="17">
        <v>0</v>
      </c>
      <c r="I88" s="17">
        <v>0</v>
      </c>
      <c r="J88" s="17">
        <v>0</v>
      </c>
      <c r="K88" s="17">
        <v>0</v>
      </c>
      <c r="L88" s="17">
        <v>0</v>
      </c>
      <c r="M88" s="17"/>
      <c r="N88" s="18">
        <f t="shared" si="11"/>
        <v>217153.49</v>
      </c>
    </row>
    <row r="89" spans="1:14" ht="25.5">
      <c r="A89" s="11" t="s">
        <v>168</v>
      </c>
      <c r="B89" s="12" t="s">
        <v>169</v>
      </c>
      <c r="C89" s="13" t="s">
        <v>170</v>
      </c>
      <c r="D89" s="17">
        <f>2797792+87000+253000+8020.52+50415.04</f>
        <v>3196227.56</v>
      </c>
      <c r="E89" s="17">
        <v>0</v>
      </c>
      <c r="F89" s="17">
        <v>0</v>
      </c>
      <c r="G89" s="17">
        <v>0</v>
      </c>
      <c r="H89" s="17">
        <v>0</v>
      </c>
      <c r="I89" s="17">
        <v>0</v>
      </c>
      <c r="J89" s="17">
        <v>0</v>
      </c>
      <c r="K89" s="17">
        <v>0</v>
      </c>
      <c r="L89" s="17">
        <v>0</v>
      </c>
      <c r="M89" s="17"/>
      <c r="N89" s="18">
        <f t="shared" si="11"/>
        <v>3196227.56</v>
      </c>
    </row>
    <row r="90" spans="1:14" ht="12.75">
      <c r="A90" s="11" t="s">
        <v>171</v>
      </c>
      <c r="B90" s="12" t="s">
        <v>172</v>
      </c>
      <c r="C90" s="13" t="s">
        <v>173</v>
      </c>
      <c r="D90" s="17">
        <f>8193864.91+568200-20057.23+278574.77+93003.96+52261.26</f>
        <v>9165847.67</v>
      </c>
      <c r="E90" s="17">
        <v>0</v>
      </c>
      <c r="F90" s="17">
        <v>0</v>
      </c>
      <c r="G90" s="17">
        <v>0</v>
      </c>
      <c r="H90" s="17">
        <v>0</v>
      </c>
      <c r="I90" s="17">
        <v>0</v>
      </c>
      <c r="J90" s="17">
        <v>0</v>
      </c>
      <c r="K90" s="17">
        <v>0</v>
      </c>
      <c r="L90" s="17">
        <v>0</v>
      </c>
      <c r="M90" s="17"/>
      <c r="N90" s="18">
        <f t="shared" si="11"/>
        <v>9165847.67</v>
      </c>
    </row>
    <row r="91" spans="1:14" ht="25.5">
      <c r="A91" s="11" t="s">
        <v>174</v>
      </c>
      <c r="B91" s="12" t="s">
        <v>175</v>
      </c>
      <c r="C91" s="13" t="s">
        <v>176</v>
      </c>
      <c r="D91" s="17">
        <f>993122+120000+60253.43-1292.68</f>
        <v>1172082.75</v>
      </c>
      <c r="E91" s="17">
        <v>0</v>
      </c>
      <c r="F91" s="17">
        <v>0</v>
      </c>
      <c r="G91" s="17">
        <v>0</v>
      </c>
      <c r="H91" s="17">
        <v>0</v>
      </c>
      <c r="I91" s="17">
        <v>0</v>
      </c>
      <c r="J91" s="17">
        <v>0</v>
      </c>
      <c r="K91" s="17">
        <v>0</v>
      </c>
      <c r="L91" s="17">
        <v>0</v>
      </c>
      <c r="M91" s="17"/>
      <c r="N91" s="18">
        <f aca="true" t="shared" si="12" ref="N91:N129">D91+G91</f>
        <v>1172082.75</v>
      </c>
    </row>
    <row r="92" spans="1:14" ht="25.5">
      <c r="A92" s="11" t="s">
        <v>177</v>
      </c>
      <c r="B92" s="12" t="s">
        <v>178</v>
      </c>
      <c r="C92" s="13" t="s">
        <v>179</v>
      </c>
      <c r="D92" s="17">
        <f>2082168+8516.17+14248.43</f>
        <v>2104932.6</v>
      </c>
      <c r="E92" s="17">
        <v>0</v>
      </c>
      <c r="F92" s="17">
        <v>0</v>
      </c>
      <c r="G92" s="17">
        <v>0</v>
      </c>
      <c r="H92" s="17">
        <v>0</v>
      </c>
      <c r="I92" s="17">
        <v>0</v>
      </c>
      <c r="J92" s="17">
        <v>0</v>
      </c>
      <c r="K92" s="17">
        <v>0</v>
      </c>
      <c r="L92" s="17">
        <v>0</v>
      </c>
      <c r="M92" s="17"/>
      <c r="N92" s="18">
        <f>D92+G92</f>
        <v>2104932.6</v>
      </c>
    </row>
    <row r="93" spans="1:14" ht="25.5">
      <c r="A93" s="11" t="s">
        <v>180</v>
      </c>
      <c r="B93" s="12" t="s">
        <v>181</v>
      </c>
      <c r="C93" s="13" t="s">
        <v>182</v>
      </c>
      <c r="D93" s="17">
        <f>411301.48+6762.03</f>
        <v>418063.51</v>
      </c>
      <c r="E93" s="17">
        <v>0</v>
      </c>
      <c r="F93" s="17">
        <v>0</v>
      </c>
      <c r="G93" s="17">
        <v>0</v>
      </c>
      <c r="H93" s="17">
        <v>0</v>
      </c>
      <c r="I93" s="17">
        <v>0</v>
      </c>
      <c r="J93" s="17">
        <v>0</v>
      </c>
      <c r="K93" s="17">
        <v>0</v>
      </c>
      <c r="L93" s="17">
        <v>0</v>
      </c>
      <c r="M93" s="17"/>
      <c r="N93" s="18">
        <f t="shared" si="12"/>
        <v>418063.51</v>
      </c>
    </row>
    <row r="94" spans="1:14" ht="12.75">
      <c r="A94" s="11" t="s">
        <v>183</v>
      </c>
      <c r="B94" s="12" t="s">
        <v>184</v>
      </c>
      <c r="C94" s="13" t="s">
        <v>185</v>
      </c>
      <c r="D94" s="17">
        <f>65000-48216.72+10850-13.52</f>
        <v>27619.76</v>
      </c>
      <c r="E94" s="17">
        <v>0</v>
      </c>
      <c r="F94" s="17">
        <v>0</v>
      </c>
      <c r="G94" s="17">
        <v>0</v>
      </c>
      <c r="H94" s="17">
        <v>0</v>
      </c>
      <c r="I94" s="17">
        <v>0</v>
      </c>
      <c r="J94" s="17">
        <v>0</v>
      </c>
      <c r="K94" s="17">
        <v>0</v>
      </c>
      <c r="L94" s="17">
        <v>0</v>
      </c>
      <c r="M94" s="17"/>
      <c r="N94" s="18">
        <f>D94+G94</f>
        <v>27619.76</v>
      </c>
    </row>
    <row r="95" spans="1:14" ht="25.5">
      <c r="A95" s="11" t="s">
        <v>186</v>
      </c>
      <c r="B95" s="12" t="s">
        <v>187</v>
      </c>
      <c r="C95" s="13" t="s">
        <v>188</v>
      </c>
      <c r="D95" s="17">
        <f>664416.61+5782.98</f>
        <v>670199.59</v>
      </c>
      <c r="E95" s="17">
        <v>0</v>
      </c>
      <c r="F95" s="17">
        <v>0</v>
      </c>
      <c r="G95" s="17">
        <v>0</v>
      </c>
      <c r="H95" s="17">
        <v>0</v>
      </c>
      <c r="I95" s="17">
        <v>0</v>
      </c>
      <c r="J95" s="17">
        <v>0</v>
      </c>
      <c r="K95" s="17">
        <v>0</v>
      </c>
      <c r="L95" s="17">
        <v>0</v>
      </c>
      <c r="M95" s="17"/>
      <c r="N95" s="18">
        <f t="shared" si="12"/>
        <v>670199.59</v>
      </c>
    </row>
    <row r="96" spans="1:14" ht="38.25">
      <c r="A96" s="11" t="s">
        <v>189</v>
      </c>
      <c r="B96" s="12" t="s">
        <v>190</v>
      </c>
      <c r="C96" s="13" t="s">
        <v>191</v>
      </c>
      <c r="D96" s="17">
        <f>866756.7+12654.55</f>
        <v>879411.25</v>
      </c>
      <c r="E96" s="17">
        <v>0</v>
      </c>
      <c r="F96" s="17">
        <v>0</v>
      </c>
      <c r="G96" s="17">
        <v>0</v>
      </c>
      <c r="H96" s="17">
        <v>0</v>
      </c>
      <c r="I96" s="17">
        <v>0</v>
      </c>
      <c r="J96" s="17">
        <v>0</v>
      </c>
      <c r="K96" s="17">
        <v>0</v>
      </c>
      <c r="L96" s="17">
        <v>0</v>
      </c>
      <c r="M96" s="17"/>
      <c r="N96" s="18">
        <f t="shared" si="12"/>
        <v>879411.25</v>
      </c>
    </row>
    <row r="97" spans="1:14" ht="51">
      <c r="A97" s="11" t="s">
        <v>192</v>
      </c>
      <c r="B97" s="12" t="s">
        <v>193</v>
      </c>
      <c r="C97" s="13" t="s">
        <v>194</v>
      </c>
      <c r="D97" s="17">
        <f>472675-8363.5-476.52-275750.36</f>
        <v>188084.62</v>
      </c>
      <c r="E97" s="17">
        <v>0</v>
      </c>
      <c r="F97" s="17">
        <v>0</v>
      </c>
      <c r="G97" s="17">
        <v>0</v>
      </c>
      <c r="H97" s="17">
        <v>0</v>
      </c>
      <c r="I97" s="17">
        <v>0</v>
      </c>
      <c r="J97" s="17">
        <v>0</v>
      </c>
      <c r="K97" s="17">
        <v>0</v>
      </c>
      <c r="L97" s="17">
        <v>0</v>
      </c>
      <c r="M97" s="17"/>
      <c r="N97" s="18">
        <f>D97+G97</f>
        <v>188084.62</v>
      </c>
    </row>
    <row r="98" spans="1:14" ht="12.75">
      <c r="A98" s="11" t="s">
        <v>195</v>
      </c>
      <c r="B98" s="12" t="s">
        <v>196</v>
      </c>
      <c r="C98" s="13" t="s">
        <v>197</v>
      </c>
      <c r="D98" s="17">
        <f>108403+24000+2000</f>
        <v>134403</v>
      </c>
      <c r="E98" s="17">
        <v>0</v>
      </c>
      <c r="F98" s="17">
        <v>0</v>
      </c>
      <c r="G98" s="17">
        <v>0</v>
      </c>
      <c r="H98" s="17">
        <v>0</v>
      </c>
      <c r="I98" s="17">
        <v>0</v>
      </c>
      <c r="J98" s="17">
        <v>0</v>
      </c>
      <c r="K98" s="17">
        <v>0</v>
      </c>
      <c r="L98" s="17">
        <v>0</v>
      </c>
      <c r="M98" s="17"/>
      <c r="N98" s="18">
        <f t="shared" si="12"/>
        <v>134403</v>
      </c>
    </row>
    <row r="99" spans="1:14" ht="51">
      <c r="A99" s="11"/>
      <c r="B99" s="12"/>
      <c r="C99" s="13" t="s">
        <v>198</v>
      </c>
      <c r="D99" s="17">
        <f>24000+24000</f>
        <v>48000</v>
      </c>
      <c r="E99" s="17"/>
      <c r="F99" s="17"/>
      <c r="G99" s="17"/>
      <c r="H99" s="17"/>
      <c r="I99" s="17"/>
      <c r="J99" s="17"/>
      <c r="K99" s="17"/>
      <c r="L99" s="17"/>
      <c r="M99" s="17"/>
      <c r="N99" s="18">
        <f t="shared" si="12"/>
        <v>48000</v>
      </c>
    </row>
    <row r="100" spans="1:14" ht="25.5">
      <c r="A100" s="11" t="s">
        <v>199</v>
      </c>
      <c r="B100" s="12" t="s">
        <v>200</v>
      </c>
      <c r="C100" s="13" t="s">
        <v>201</v>
      </c>
      <c r="D100" s="17">
        <f>30703+30000</f>
        <v>60703</v>
      </c>
      <c r="E100" s="17">
        <v>0</v>
      </c>
      <c r="F100" s="17">
        <v>0</v>
      </c>
      <c r="G100" s="17">
        <f>30000-30000</f>
        <v>0</v>
      </c>
      <c r="H100" s="17">
        <v>0</v>
      </c>
      <c r="I100" s="17">
        <v>0</v>
      </c>
      <c r="J100" s="17">
        <v>0</v>
      </c>
      <c r="K100" s="17">
        <f>30000-30000</f>
        <v>0</v>
      </c>
      <c r="L100" s="17">
        <f>30000-30000</f>
        <v>0</v>
      </c>
      <c r="M100" s="17"/>
      <c r="N100" s="18">
        <f t="shared" si="12"/>
        <v>60703</v>
      </c>
    </row>
    <row r="101" spans="1:14" ht="76.5">
      <c r="A101" s="11"/>
      <c r="B101" s="12"/>
      <c r="C101" s="13" t="s">
        <v>202</v>
      </c>
      <c r="D101" s="17">
        <v>30000</v>
      </c>
      <c r="E101" s="17"/>
      <c r="F101" s="17"/>
      <c r="G101" s="17">
        <f>30000-30000</f>
        <v>0</v>
      </c>
      <c r="H101" s="17"/>
      <c r="I101" s="17"/>
      <c r="J101" s="17"/>
      <c r="K101" s="17">
        <f>30000-30000</f>
        <v>0</v>
      </c>
      <c r="L101" s="17">
        <f>30000-30000</f>
        <v>0</v>
      </c>
      <c r="M101" s="17"/>
      <c r="N101" s="18">
        <f t="shared" si="12"/>
        <v>30000</v>
      </c>
    </row>
    <row r="102" spans="1:14" ht="25.5">
      <c r="A102" s="11" t="s">
        <v>203</v>
      </c>
      <c r="B102" s="12" t="s">
        <v>204</v>
      </c>
      <c r="C102" s="13" t="s">
        <v>205</v>
      </c>
      <c r="D102" s="17">
        <f>115400+50+251+475+285845+3268-48000+19340</f>
        <v>376629</v>
      </c>
      <c r="E102" s="17">
        <f>77110+209718+2347-78570+13601</f>
        <v>224206</v>
      </c>
      <c r="F102" s="17">
        <f>8040+5800</f>
        <v>13840</v>
      </c>
      <c r="G102" s="17">
        <f>H102+K102</f>
        <v>48000</v>
      </c>
      <c r="H102" s="17">
        <v>0</v>
      </c>
      <c r="I102" s="17">
        <v>0</v>
      </c>
      <c r="J102" s="17">
        <v>0</v>
      </c>
      <c r="K102" s="17">
        <v>48000</v>
      </c>
      <c r="L102" s="17">
        <v>48000</v>
      </c>
      <c r="M102" s="17">
        <v>48000</v>
      </c>
      <c r="N102" s="18">
        <f>D102+G102</f>
        <v>424629</v>
      </c>
    </row>
    <row r="103" spans="1:14" ht="51">
      <c r="A103" s="11"/>
      <c r="B103" s="12"/>
      <c r="C103" s="13" t="s">
        <v>206</v>
      </c>
      <c r="D103" s="17">
        <f>285845-48000</f>
        <v>237845</v>
      </c>
      <c r="E103" s="17">
        <f>209718-78570</f>
        <v>131148</v>
      </c>
      <c r="F103" s="17">
        <v>5800</v>
      </c>
      <c r="G103" s="17">
        <f>H103+K103</f>
        <v>48000</v>
      </c>
      <c r="H103" s="17"/>
      <c r="I103" s="17"/>
      <c r="J103" s="17"/>
      <c r="K103" s="17">
        <v>48000</v>
      </c>
      <c r="L103" s="17">
        <v>48000</v>
      </c>
      <c r="M103" s="17">
        <v>48000</v>
      </c>
      <c r="N103" s="18">
        <f t="shared" si="12"/>
        <v>285845</v>
      </c>
    </row>
    <row r="104" spans="1:14" ht="38.25">
      <c r="A104" s="11"/>
      <c r="B104" s="12"/>
      <c r="C104" s="13" t="s">
        <v>26</v>
      </c>
      <c r="D104" s="17">
        <v>3268</v>
      </c>
      <c r="E104" s="17">
        <v>2347</v>
      </c>
      <c r="F104" s="17"/>
      <c r="G104" s="17">
        <v>0</v>
      </c>
      <c r="H104" s="17"/>
      <c r="I104" s="17"/>
      <c r="J104" s="17"/>
      <c r="K104" s="17"/>
      <c r="L104" s="17"/>
      <c r="M104" s="17"/>
      <c r="N104" s="18">
        <f t="shared" si="12"/>
        <v>3268</v>
      </c>
    </row>
    <row r="105" spans="1:14" ht="25.5">
      <c r="A105" s="11" t="s">
        <v>207</v>
      </c>
      <c r="B105" s="12" t="s">
        <v>208</v>
      </c>
      <c r="C105" s="13" t="s">
        <v>209</v>
      </c>
      <c r="D105" s="17">
        <f>11000+4480</f>
        <v>15480</v>
      </c>
      <c r="E105" s="17">
        <v>0</v>
      </c>
      <c r="F105" s="17">
        <v>0</v>
      </c>
      <c r="G105" s="17">
        <v>0</v>
      </c>
      <c r="H105" s="17">
        <v>0</v>
      </c>
      <c r="I105" s="17">
        <v>0</v>
      </c>
      <c r="J105" s="17">
        <v>0</v>
      </c>
      <c r="K105" s="17">
        <v>0</v>
      </c>
      <c r="L105" s="17">
        <v>0</v>
      </c>
      <c r="M105" s="17"/>
      <c r="N105" s="18">
        <f t="shared" si="12"/>
        <v>15480</v>
      </c>
    </row>
    <row r="106" spans="1:14" ht="51">
      <c r="A106" s="11" t="s">
        <v>210</v>
      </c>
      <c r="B106" s="12" t="s">
        <v>211</v>
      </c>
      <c r="C106" s="13" t="s">
        <v>212</v>
      </c>
      <c r="D106" s="14">
        <f>2170592+154000+56000+113500-7300+136700+68150+26000+250000+35200+145517+202633</f>
        <v>3350992</v>
      </c>
      <c r="E106" s="14">
        <f>1108600+154000+83300-5400+100000+50000+21241+183420+26200+107391+149453+46999</f>
        <v>2025204</v>
      </c>
      <c r="F106" s="14">
        <f>303772-55194</f>
        <v>248578</v>
      </c>
      <c r="G106" s="14">
        <f>H106+K106</f>
        <v>200000</v>
      </c>
      <c r="H106" s="14">
        <f>70000+130000</f>
        <v>200000</v>
      </c>
      <c r="I106" s="14">
        <v>0</v>
      </c>
      <c r="J106" s="14">
        <v>0</v>
      </c>
      <c r="K106" s="14">
        <v>0</v>
      </c>
      <c r="L106" s="14">
        <v>0</v>
      </c>
      <c r="M106" s="14"/>
      <c r="N106" s="15">
        <f>D106+G106</f>
        <v>3550992</v>
      </c>
    </row>
    <row r="107" spans="1:14" ht="38.25">
      <c r="A107" s="11"/>
      <c r="B107" s="12"/>
      <c r="C107" s="13" t="s">
        <v>26</v>
      </c>
      <c r="D107" s="14">
        <f>113500-7300+136700+68150+26000+35200+145517+202633</f>
        <v>720400</v>
      </c>
      <c r="E107" s="14">
        <f>83300-5400+100000+50000+21241+26200+107391+149453</f>
        <v>532185</v>
      </c>
      <c r="F107" s="14"/>
      <c r="G107" s="14">
        <v>0</v>
      </c>
      <c r="H107" s="14"/>
      <c r="I107" s="14"/>
      <c r="J107" s="14"/>
      <c r="K107" s="14"/>
      <c r="L107" s="14"/>
      <c r="M107" s="14"/>
      <c r="N107" s="15">
        <f>D107+G107</f>
        <v>720400</v>
      </c>
    </row>
    <row r="108" spans="1:14" ht="38.25">
      <c r="A108" s="11"/>
      <c r="B108" s="12"/>
      <c r="C108" s="16" t="s">
        <v>27</v>
      </c>
      <c r="D108" s="14">
        <v>250000</v>
      </c>
      <c r="E108" s="14">
        <v>183420</v>
      </c>
      <c r="F108" s="14"/>
      <c r="G108" s="14"/>
      <c r="H108" s="14"/>
      <c r="I108" s="14"/>
      <c r="J108" s="14"/>
      <c r="K108" s="14"/>
      <c r="L108" s="14"/>
      <c r="M108" s="14"/>
      <c r="N108" s="15">
        <f>D108+G108</f>
        <v>250000</v>
      </c>
    </row>
    <row r="109" spans="1:14" ht="63.75">
      <c r="A109" s="11" t="s">
        <v>213</v>
      </c>
      <c r="B109" s="12" t="s">
        <v>214</v>
      </c>
      <c r="C109" s="13" t="s">
        <v>215</v>
      </c>
      <c r="D109" s="17">
        <f>142500-48537-2000-30000</f>
        <v>61963</v>
      </c>
      <c r="E109" s="17">
        <v>0</v>
      </c>
      <c r="F109" s="17">
        <v>0</v>
      </c>
      <c r="G109" s="17">
        <v>0</v>
      </c>
      <c r="H109" s="17">
        <v>0</v>
      </c>
      <c r="I109" s="17">
        <v>0</v>
      </c>
      <c r="J109" s="17">
        <v>0</v>
      </c>
      <c r="K109" s="17">
        <v>0</v>
      </c>
      <c r="L109" s="17">
        <v>0</v>
      </c>
      <c r="M109" s="17"/>
      <c r="N109" s="18">
        <f>D109+G109</f>
        <v>61963</v>
      </c>
    </row>
    <row r="110" spans="1:14" ht="38.25">
      <c r="A110" s="11" t="s">
        <v>216</v>
      </c>
      <c r="B110" s="12" t="s">
        <v>217</v>
      </c>
      <c r="C110" s="13" t="s">
        <v>218</v>
      </c>
      <c r="D110" s="17">
        <v>80094</v>
      </c>
      <c r="E110" s="17">
        <v>0</v>
      </c>
      <c r="F110" s="17">
        <v>0</v>
      </c>
      <c r="G110" s="17">
        <v>0</v>
      </c>
      <c r="H110" s="17">
        <v>0</v>
      </c>
      <c r="I110" s="17">
        <v>0</v>
      </c>
      <c r="J110" s="17">
        <v>0</v>
      </c>
      <c r="K110" s="17">
        <v>0</v>
      </c>
      <c r="L110" s="17">
        <v>0</v>
      </c>
      <c r="M110" s="17"/>
      <c r="N110" s="18">
        <f t="shared" si="12"/>
        <v>80094</v>
      </c>
    </row>
    <row r="111" spans="1:14" ht="25.5">
      <c r="A111" s="11" t="s">
        <v>219</v>
      </c>
      <c r="B111" s="12" t="s">
        <v>220</v>
      </c>
      <c r="C111" s="13" t="s">
        <v>221</v>
      </c>
      <c r="D111" s="17">
        <f>2661730-125959.97-107238.87</f>
        <v>2428531.1599999997</v>
      </c>
      <c r="E111" s="17">
        <v>0</v>
      </c>
      <c r="F111" s="17">
        <v>0</v>
      </c>
      <c r="G111" s="17">
        <v>0</v>
      </c>
      <c r="H111" s="17">
        <v>0</v>
      </c>
      <c r="I111" s="17">
        <v>0</v>
      </c>
      <c r="J111" s="17">
        <v>0</v>
      </c>
      <c r="K111" s="17">
        <v>0</v>
      </c>
      <c r="L111" s="17">
        <v>0</v>
      </c>
      <c r="M111" s="17"/>
      <c r="N111" s="18">
        <f>D111+G111</f>
        <v>2428531.1599999997</v>
      </c>
    </row>
    <row r="112" spans="1:14" ht="38.25">
      <c r="A112" s="11" t="s">
        <v>222</v>
      </c>
      <c r="B112" s="12" t="s">
        <v>223</v>
      </c>
      <c r="C112" s="13" t="s">
        <v>224</v>
      </c>
      <c r="D112" s="17">
        <f>186880+5200+5000</f>
        <v>197080</v>
      </c>
      <c r="E112" s="17">
        <v>0</v>
      </c>
      <c r="F112" s="17">
        <v>0</v>
      </c>
      <c r="G112" s="17">
        <v>0</v>
      </c>
      <c r="H112" s="17">
        <v>0</v>
      </c>
      <c r="I112" s="17">
        <v>0</v>
      </c>
      <c r="J112" s="17">
        <v>0</v>
      </c>
      <c r="K112" s="17">
        <v>0</v>
      </c>
      <c r="L112" s="17">
        <v>0</v>
      </c>
      <c r="M112" s="17"/>
      <c r="N112" s="18">
        <f t="shared" si="12"/>
        <v>197080</v>
      </c>
    </row>
    <row r="113" spans="1:14" ht="25.5">
      <c r="A113" s="6" t="s">
        <v>225</v>
      </c>
      <c r="B113" s="7"/>
      <c r="C113" s="8" t="s">
        <v>226</v>
      </c>
      <c r="D113" s="9">
        <f>D114</f>
        <v>1590583</v>
      </c>
      <c r="E113" s="9">
        <f aca="true" t="shared" si="13" ref="E113:M113">E114</f>
        <v>1005285</v>
      </c>
      <c r="F113" s="9">
        <f t="shared" si="13"/>
        <v>124423</v>
      </c>
      <c r="G113" s="9">
        <f t="shared" si="13"/>
        <v>93084.84</v>
      </c>
      <c r="H113" s="9">
        <f t="shared" si="13"/>
        <v>67683.5</v>
      </c>
      <c r="I113" s="9">
        <f t="shared" si="13"/>
        <v>46480.19</v>
      </c>
      <c r="J113" s="9">
        <f t="shared" si="13"/>
        <v>0</v>
      </c>
      <c r="K113" s="9">
        <f t="shared" si="13"/>
        <v>25401.34</v>
      </c>
      <c r="L113" s="9">
        <f t="shared" si="13"/>
        <v>3000</v>
      </c>
      <c r="M113" s="9">
        <f t="shared" si="13"/>
        <v>0</v>
      </c>
      <c r="N113" s="10">
        <f t="shared" si="12"/>
        <v>1683667.84</v>
      </c>
    </row>
    <row r="114" spans="1:14" ht="25.5">
      <c r="A114" s="6" t="s">
        <v>227</v>
      </c>
      <c r="B114" s="7"/>
      <c r="C114" s="8" t="s">
        <v>226</v>
      </c>
      <c r="D114" s="9">
        <f>D115+D117+D118+D119</f>
        <v>1590583</v>
      </c>
      <c r="E114" s="9">
        <f aca="true" t="shared" si="14" ref="E114:M114">E115+E117+E118+E119</f>
        <v>1005285</v>
      </c>
      <c r="F114" s="9">
        <f t="shared" si="14"/>
        <v>124423</v>
      </c>
      <c r="G114" s="9">
        <f t="shared" si="14"/>
        <v>93084.84</v>
      </c>
      <c r="H114" s="9">
        <f t="shared" si="14"/>
        <v>67683.5</v>
      </c>
      <c r="I114" s="9">
        <f t="shared" si="14"/>
        <v>46480.19</v>
      </c>
      <c r="J114" s="9">
        <f t="shared" si="14"/>
        <v>0</v>
      </c>
      <c r="K114" s="9">
        <f t="shared" si="14"/>
        <v>25401.34</v>
      </c>
      <c r="L114" s="9">
        <f t="shared" si="14"/>
        <v>3000</v>
      </c>
      <c r="M114" s="9">
        <f t="shared" si="14"/>
        <v>0</v>
      </c>
      <c r="N114" s="10">
        <f t="shared" si="12"/>
        <v>1683667.84</v>
      </c>
    </row>
    <row r="115" spans="1:14" ht="25.5">
      <c r="A115" s="11" t="s">
        <v>228</v>
      </c>
      <c r="B115" s="12" t="s">
        <v>229</v>
      </c>
      <c r="C115" s="13" t="s">
        <v>230</v>
      </c>
      <c r="D115" s="17">
        <v>40000</v>
      </c>
      <c r="E115" s="17">
        <v>0</v>
      </c>
      <c r="F115" s="17">
        <v>0</v>
      </c>
      <c r="G115" s="17">
        <v>3000</v>
      </c>
      <c r="H115" s="17">
        <v>0</v>
      </c>
      <c r="I115" s="17">
        <v>0</v>
      </c>
      <c r="J115" s="17">
        <v>0</v>
      </c>
      <c r="K115" s="17">
        <v>3000</v>
      </c>
      <c r="L115" s="17">
        <v>3000</v>
      </c>
      <c r="M115" s="17"/>
      <c r="N115" s="18">
        <f>D115+G115</f>
        <v>43000</v>
      </c>
    </row>
    <row r="116" spans="1:14" ht="63.75">
      <c r="A116" s="11"/>
      <c r="B116" s="12"/>
      <c r="C116" s="13" t="s">
        <v>231</v>
      </c>
      <c r="D116" s="17"/>
      <c r="E116" s="17"/>
      <c r="F116" s="17"/>
      <c r="G116" s="17">
        <v>3000</v>
      </c>
      <c r="H116" s="17"/>
      <c r="I116" s="17"/>
      <c r="J116" s="17"/>
      <c r="K116" s="17">
        <v>3000</v>
      </c>
      <c r="L116" s="17">
        <v>3000</v>
      </c>
      <c r="M116" s="17"/>
      <c r="N116" s="18">
        <f>D116+G116</f>
        <v>3000</v>
      </c>
    </row>
    <row r="117" spans="1:14" ht="12.75">
      <c r="A117" s="11" t="s">
        <v>232</v>
      </c>
      <c r="B117" s="12" t="s">
        <v>233</v>
      </c>
      <c r="C117" s="13" t="s">
        <v>234</v>
      </c>
      <c r="D117" s="17">
        <f>241536-23800</f>
        <v>217736</v>
      </c>
      <c r="E117" s="17">
        <v>129006</v>
      </c>
      <c r="F117" s="17">
        <f>53101-23800</f>
        <v>29301</v>
      </c>
      <c r="G117" s="17">
        <f>H117+K117</f>
        <v>23005.34</v>
      </c>
      <c r="H117" s="17">
        <f>300+304</f>
        <v>604</v>
      </c>
      <c r="I117" s="17">
        <v>0</v>
      </c>
      <c r="J117" s="17">
        <v>0</v>
      </c>
      <c r="K117" s="17">
        <f>1700+20701.34</f>
        <v>22401.34</v>
      </c>
      <c r="L117" s="17">
        <v>0</v>
      </c>
      <c r="M117" s="17"/>
      <c r="N117" s="18">
        <f>D117+G117</f>
        <v>240741.34</v>
      </c>
    </row>
    <row r="118" spans="1:14" ht="12.75">
      <c r="A118" s="11" t="s">
        <v>235</v>
      </c>
      <c r="B118" s="12" t="s">
        <v>236</v>
      </c>
      <c r="C118" s="13" t="s">
        <v>237</v>
      </c>
      <c r="D118" s="17">
        <v>1060189</v>
      </c>
      <c r="E118" s="17">
        <v>692461</v>
      </c>
      <c r="F118" s="17">
        <v>82361</v>
      </c>
      <c r="G118" s="17">
        <f>H118+K118</f>
        <v>64602.5</v>
      </c>
      <c r="H118" s="17">
        <f>52067+12535.5</f>
        <v>64602.5</v>
      </c>
      <c r="I118" s="17">
        <f>38200+8280.19</f>
        <v>46480.19</v>
      </c>
      <c r="J118" s="17">
        <v>0</v>
      </c>
      <c r="K118" s="17">
        <v>0</v>
      </c>
      <c r="L118" s="17">
        <v>0</v>
      </c>
      <c r="M118" s="17"/>
      <c r="N118" s="18">
        <f>D118+G118</f>
        <v>1124791.5</v>
      </c>
    </row>
    <row r="119" spans="1:14" ht="12.75">
      <c r="A119" s="11" t="s">
        <v>238</v>
      </c>
      <c r="B119" s="12" t="s">
        <v>239</v>
      </c>
      <c r="C119" s="13" t="s">
        <v>240</v>
      </c>
      <c r="D119" s="17">
        <f>299658-22400-4600</f>
        <v>272658</v>
      </c>
      <c r="E119" s="17">
        <f>200218-16400</f>
        <v>183818</v>
      </c>
      <c r="F119" s="17">
        <f>17361-4600</f>
        <v>12761</v>
      </c>
      <c r="G119" s="17">
        <f>H119+K119</f>
        <v>2477</v>
      </c>
      <c r="H119" s="17">
        <v>2477</v>
      </c>
      <c r="I119" s="17">
        <v>0</v>
      </c>
      <c r="J119" s="17">
        <v>0</v>
      </c>
      <c r="K119" s="17">
        <v>0</v>
      </c>
      <c r="L119" s="17">
        <v>0</v>
      </c>
      <c r="M119" s="17"/>
      <c r="N119" s="18">
        <f>D119+G119</f>
        <v>275135</v>
      </c>
    </row>
    <row r="120" spans="1:14" ht="51">
      <c r="A120" s="6" t="s">
        <v>241</v>
      </c>
      <c r="B120" s="7"/>
      <c r="C120" s="8" t="s">
        <v>242</v>
      </c>
      <c r="D120" s="9">
        <f>D121</f>
        <v>42947385.02</v>
      </c>
      <c r="E120" s="9">
        <f aca="true" t="shared" si="15" ref="E120:M120">E121</f>
        <v>0</v>
      </c>
      <c r="F120" s="9">
        <f t="shared" si="15"/>
        <v>0</v>
      </c>
      <c r="G120" s="9">
        <f t="shared" si="15"/>
        <v>1500512</v>
      </c>
      <c r="H120" s="9">
        <f t="shared" si="15"/>
        <v>320439</v>
      </c>
      <c r="I120" s="9">
        <f t="shared" si="15"/>
        <v>0</v>
      </c>
      <c r="J120" s="9">
        <f t="shared" si="15"/>
        <v>0</v>
      </c>
      <c r="K120" s="9">
        <f t="shared" si="15"/>
        <v>1180073</v>
      </c>
      <c r="L120" s="9">
        <f t="shared" si="15"/>
        <v>768373</v>
      </c>
      <c r="M120" s="9">
        <f t="shared" si="15"/>
        <v>64215</v>
      </c>
      <c r="N120" s="10">
        <f t="shared" si="12"/>
        <v>44447897.02</v>
      </c>
    </row>
    <row r="121" spans="1:14" ht="51">
      <c r="A121" s="6" t="s">
        <v>243</v>
      </c>
      <c r="B121" s="7"/>
      <c r="C121" s="8" t="s">
        <v>242</v>
      </c>
      <c r="D121" s="9">
        <f>D122+D123+D124+D125+D127+D129+D130+D131+D126+D140+D128+D141</f>
        <v>42947385.02</v>
      </c>
      <c r="E121" s="9">
        <f aca="true" t="shared" si="16" ref="E121:M121">E122+E123+E124+E125+E127+E129+E130+E131+E126+E140+E128+E141</f>
        <v>0</v>
      </c>
      <c r="F121" s="9">
        <f t="shared" si="16"/>
        <v>0</v>
      </c>
      <c r="G121" s="9">
        <f t="shared" si="16"/>
        <v>1500512</v>
      </c>
      <c r="H121" s="9">
        <f t="shared" si="16"/>
        <v>320439</v>
      </c>
      <c r="I121" s="9">
        <f t="shared" si="16"/>
        <v>0</v>
      </c>
      <c r="J121" s="9">
        <f t="shared" si="16"/>
        <v>0</v>
      </c>
      <c r="K121" s="9">
        <f t="shared" si="16"/>
        <v>1180073</v>
      </c>
      <c r="L121" s="9">
        <f t="shared" si="16"/>
        <v>768373</v>
      </c>
      <c r="M121" s="9">
        <f t="shared" si="16"/>
        <v>64215</v>
      </c>
      <c r="N121" s="10">
        <f t="shared" si="12"/>
        <v>44447897.02</v>
      </c>
    </row>
    <row r="122" spans="1:14" ht="12.75">
      <c r="A122" s="11" t="s">
        <v>244</v>
      </c>
      <c r="B122" s="12" t="s">
        <v>245</v>
      </c>
      <c r="C122" s="13" t="s">
        <v>246</v>
      </c>
      <c r="D122" s="17">
        <v>30000</v>
      </c>
      <c r="E122" s="17">
        <v>0</v>
      </c>
      <c r="F122" s="17">
        <v>0</v>
      </c>
      <c r="G122" s="17">
        <v>0</v>
      </c>
      <c r="H122" s="17">
        <v>0</v>
      </c>
      <c r="I122" s="17">
        <v>0</v>
      </c>
      <c r="J122" s="17">
        <v>0</v>
      </c>
      <c r="K122" s="17">
        <v>0</v>
      </c>
      <c r="L122" s="17">
        <v>0</v>
      </c>
      <c r="M122" s="17"/>
      <c r="N122" s="18">
        <f t="shared" si="12"/>
        <v>30000</v>
      </c>
    </row>
    <row r="123" spans="1:14" ht="89.25">
      <c r="A123" s="11" t="s">
        <v>247</v>
      </c>
      <c r="B123" s="12" t="s">
        <v>248</v>
      </c>
      <c r="C123" s="13" t="s">
        <v>249</v>
      </c>
      <c r="D123" s="17">
        <v>33929300</v>
      </c>
      <c r="E123" s="17">
        <v>0</v>
      </c>
      <c r="F123" s="17">
        <v>0</v>
      </c>
      <c r="G123" s="17">
        <v>0</v>
      </c>
      <c r="H123" s="17">
        <v>0</v>
      </c>
      <c r="I123" s="17">
        <v>0</v>
      </c>
      <c r="J123" s="17">
        <v>0</v>
      </c>
      <c r="K123" s="17">
        <v>0</v>
      </c>
      <c r="L123" s="17">
        <v>0</v>
      </c>
      <c r="M123" s="17"/>
      <c r="N123" s="18">
        <f t="shared" si="12"/>
        <v>33929300</v>
      </c>
    </row>
    <row r="124" spans="1:14" ht="76.5">
      <c r="A124" s="11" t="s">
        <v>250</v>
      </c>
      <c r="B124" s="12" t="s">
        <v>251</v>
      </c>
      <c r="C124" s="13" t="s">
        <v>252</v>
      </c>
      <c r="D124" s="17">
        <v>1020800</v>
      </c>
      <c r="E124" s="17">
        <v>0</v>
      </c>
      <c r="F124" s="17">
        <v>0</v>
      </c>
      <c r="G124" s="17">
        <v>0</v>
      </c>
      <c r="H124" s="17">
        <v>0</v>
      </c>
      <c r="I124" s="17">
        <v>0</v>
      </c>
      <c r="J124" s="17">
        <v>0</v>
      </c>
      <c r="K124" s="17">
        <v>0</v>
      </c>
      <c r="L124" s="17">
        <v>0</v>
      </c>
      <c r="M124" s="17"/>
      <c r="N124" s="18">
        <f t="shared" si="12"/>
        <v>1020800</v>
      </c>
    </row>
    <row r="125" spans="1:14" ht="51">
      <c r="A125" s="11" t="s">
        <v>253</v>
      </c>
      <c r="B125" s="12" t="s">
        <v>254</v>
      </c>
      <c r="C125" s="13" t="s">
        <v>255</v>
      </c>
      <c r="D125" s="17">
        <v>3756853</v>
      </c>
      <c r="E125" s="17">
        <v>0</v>
      </c>
      <c r="F125" s="17">
        <v>0</v>
      </c>
      <c r="G125" s="17">
        <v>0</v>
      </c>
      <c r="H125" s="17">
        <v>0</v>
      </c>
      <c r="I125" s="17">
        <v>0</v>
      </c>
      <c r="J125" s="17">
        <v>0</v>
      </c>
      <c r="K125" s="17">
        <v>0</v>
      </c>
      <c r="L125" s="17">
        <v>0</v>
      </c>
      <c r="M125" s="17"/>
      <c r="N125" s="18">
        <f t="shared" si="12"/>
        <v>3756853</v>
      </c>
    </row>
    <row r="126" spans="1:14" ht="38.25">
      <c r="A126" s="11" t="s">
        <v>256</v>
      </c>
      <c r="B126" s="12">
        <v>250313</v>
      </c>
      <c r="C126" s="13" t="s">
        <v>257</v>
      </c>
      <c r="D126" s="14">
        <f>280053+72700+1500000+62200+110000+78300+180400+154400+228000</f>
        <v>2666053</v>
      </c>
      <c r="E126" s="14"/>
      <c r="F126" s="14"/>
      <c r="G126" s="14"/>
      <c r="H126" s="14"/>
      <c r="I126" s="14"/>
      <c r="J126" s="14"/>
      <c r="K126" s="14"/>
      <c r="L126" s="14"/>
      <c r="M126" s="14"/>
      <c r="N126" s="15">
        <f t="shared" si="12"/>
        <v>2666053</v>
      </c>
    </row>
    <row r="127" spans="1:14" ht="12.75">
      <c r="A127" s="11" t="s">
        <v>258</v>
      </c>
      <c r="B127" s="12" t="s">
        <v>259</v>
      </c>
      <c r="C127" s="13" t="s">
        <v>260</v>
      </c>
      <c r="D127" s="17">
        <f>400000+320000+175000+22400</f>
        <v>917400</v>
      </c>
      <c r="E127" s="17">
        <v>0</v>
      </c>
      <c r="F127" s="17">
        <v>0</v>
      </c>
      <c r="G127" s="17">
        <v>0</v>
      </c>
      <c r="H127" s="17">
        <v>0</v>
      </c>
      <c r="I127" s="17">
        <v>0</v>
      </c>
      <c r="J127" s="17">
        <v>0</v>
      </c>
      <c r="K127" s="17">
        <v>0</v>
      </c>
      <c r="L127" s="17">
        <v>0</v>
      </c>
      <c r="M127" s="17"/>
      <c r="N127" s="18">
        <f t="shared" si="12"/>
        <v>917400</v>
      </c>
    </row>
    <row r="128" spans="1:14" ht="38.25">
      <c r="A128" s="11" t="s">
        <v>261</v>
      </c>
      <c r="B128" s="48">
        <v>250319</v>
      </c>
      <c r="C128" s="16" t="s">
        <v>262</v>
      </c>
      <c r="D128" s="14">
        <v>254000</v>
      </c>
      <c r="E128" s="14"/>
      <c r="F128" s="14"/>
      <c r="G128" s="14"/>
      <c r="H128" s="14"/>
      <c r="I128" s="14"/>
      <c r="J128" s="14"/>
      <c r="K128" s="14"/>
      <c r="L128" s="14"/>
      <c r="M128" s="14"/>
      <c r="N128" s="15">
        <f t="shared" si="12"/>
        <v>254000</v>
      </c>
    </row>
    <row r="129" spans="1:14" ht="51">
      <c r="A129" s="11" t="s">
        <v>263</v>
      </c>
      <c r="B129" s="12" t="s">
        <v>264</v>
      </c>
      <c r="C129" s="13" t="s">
        <v>265</v>
      </c>
      <c r="D129" s="17">
        <f>44980+72399.02</f>
        <v>117379.02</v>
      </c>
      <c r="E129" s="17">
        <v>0</v>
      </c>
      <c r="F129" s="17">
        <v>0</v>
      </c>
      <c r="G129" s="17">
        <v>0</v>
      </c>
      <c r="H129" s="17">
        <v>0</v>
      </c>
      <c r="I129" s="17">
        <v>0</v>
      </c>
      <c r="J129" s="17">
        <v>0</v>
      </c>
      <c r="K129" s="17">
        <v>0</v>
      </c>
      <c r="L129" s="17">
        <v>0</v>
      </c>
      <c r="M129" s="17"/>
      <c r="N129" s="18">
        <f t="shared" si="12"/>
        <v>117379.02</v>
      </c>
    </row>
    <row r="130" spans="1:14" ht="51">
      <c r="A130" s="11" t="s">
        <v>266</v>
      </c>
      <c r="B130" s="12" t="s">
        <v>267</v>
      </c>
      <c r="C130" s="13" t="s">
        <v>268</v>
      </c>
      <c r="D130" s="17">
        <v>0</v>
      </c>
      <c r="E130" s="17">
        <v>0</v>
      </c>
      <c r="F130" s="17">
        <v>0</v>
      </c>
      <c r="G130" s="17">
        <v>605000</v>
      </c>
      <c r="H130" s="17">
        <v>193300</v>
      </c>
      <c r="I130" s="17">
        <v>0</v>
      </c>
      <c r="J130" s="17">
        <v>0</v>
      </c>
      <c r="K130" s="17">
        <v>411700</v>
      </c>
      <c r="L130" s="17">
        <v>0</v>
      </c>
      <c r="M130" s="17"/>
      <c r="N130" s="18">
        <f>D130+G130</f>
        <v>605000</v>
      </c>
    </row>
    <row r="131" spans="1:14" ht="12.75">
      <c r="A131" s="11" t="s">
        <v>269</v>
      </c>
      <c r="B131" s="12" t="s">
        <v>270</v>
      </c>
      <c r="C131" s="13" t="s">
        <v>271</v>
      </c>
      <c r="D131" s="17">
        <f>67800+7000</f>
        <v>74800</v>
      </c>
      <c r="E131" s="17">
        <v>0</v>
      </c>
      <c r="F131" s="17">
        <v>0</v>
      </c>
      <c r="G131" s="17">
        <f>H131+K131</f>
        <v>895512</v>
      </c>
      <c r="H131" s="17">
        <f>H132+H133+H134+H135+H136+H137+H138+H139+67900</f>
        <v>127139</v>
      </c>
      <c r="I131" s="17">
        <f>I132+I133+I134+I135+I136</f>
        <v>0</v>
      </c>
      <c r="J131" s="17">
        <f>J132+J133+J134+J135+J136</f>
        <v>0</v>
      </c>
      <c r="K131" s="17">
        <f>K132+K133+K134+K135+K136+150000+48215+K137+K138+K139-39000-90000-5000</f>
        <v>768373</v>
      </c>
      <c r="L131" s="17">
        <f>L132+L133+L134+L135+L136+150000+48215+L137+L138+L139-39000-90000-5000</f>
        <v>768373</v>
      </c>
      <c r="M131" s="17">
        <f>150000+48215-39000-90000-5000</f>
        <v>64215</v>
      </c>
      <c r="N131" s="18">
        <f>D131+G131</f>
        <v>970312</v>
      </c>
    </row>
    <row r="132" spans="1:14" ht="52.5" customHeight="1">
      <c r="A132" s="49"/>
      <c r="B132" s="50"/>
      <c r="C132" s="27" t="s">
        <v>272</v>
      </c>
      <c r="D132" s="23"/>
      <c r="E132" s="24"/>
      <c r="F132" s="25"/>
      <c r="G132" s="17">
        <v>60000</v>
      </c>
      <c r="H132" s="17"/>
      <c r="I132" s="17"/>
      <c r="J132" s="17"/>
      <c r="K132" s="17">
        <v>60000</v>
      </c>
      <c r="L132" s="17">
        <v>60000</v>
      </c>
      <c r="M132" s="17"/>
      <c r="N132" s="18">
        <f>D132+G132</f>
        <v>60000</v>
      </c>
    </row>
    <row r="133" spans="1:14" ht="38.25">
      <c r="A133" s="49"/>
      <c r="B133" s="50"/>
      <c r="C133" s="51" t="s">
        <v>273</v>
      </c>
      <c r="D133" s="23">
        <v>7000</v>
      </c>
      <c r="E133" s="24"/>
      <c r="F133" s="25"/>
      <c r="G133" s="17">
        <f>24000+23000-7000</f>
        <v>40000</v>
      </c>
      <c r="H133" s="17"/>
      <c r="I133" s="17"/>
      <c r="J133" s="17"/>
      <c r="K133" s="17">
        <f>24000+23000-7000</f>
        <v>40000</v>
      </c>
      <c r="L133" s="17">
        <f>24000+23000-7000</f>
        <v>40000</v>
      </c>
      <c r="M133" s="17"/>
      <c r="N133" s="18">
        <f>D133+G133</f>
        <v>47000</v>
      </c>
    </row>
    <row r="134" spans="1:14" ht="38.25">
      <c r="A134" s="49"/>
      <c r="B134" s="50"/>
      <c r="C134" s="51" t="s">
        <v>274</v>
      </c>
      <c r="D134" s="23"/>
      <c r="E134" s="24"/>
      <c r="F134" s="25"/>
      <c r="G134" s="17">
        <v>141311</v>
      </c>
      <c r="H134" s="17"/>
      <c r="I134" s="17"/>
      <c r="J134" s="17"/>
      <c r="K134" s="17">
        <v>141311</v>
      </c>
      <c r="L134" s="17">
        <v>141311</v>
      </c>
      <c r="M134" s="17"/>
      <c r="N134" s="18">
        <f>G134</f>
        <v>141311</v>
      </c>
    </row>
    <row r="135" spans="1:14" ht="127.5">
      <c r="A135" s="49"/>
      <c r="B135" s="50"/>
      <c r="C135" s="51" t="s">
        <v>275</v>
      </c>
      <c r="D135" s="23"/>
      <c r="E135" s="24"/>
      <c r="F135" s="25"/>
      <c r="G135" s="17">
        <f>160000+35000-900</f>
        <v>194100</v>
      </c>
      <c r="H135" s="17"/>
      <c r="I135" s="17"/>
      <c r="J135" s="17"/>
      <c r="K135" s="17">
        <f>160000+35000-900</f>
        <v>194100</v>
      </c>
      <c r="L135" s="17">
        <f>160000+35000-900</f>
        <v>194100</v>
      </c>
      <c r="M135" s="17"/>
      <c r="N135" s="18">
        <f>G135</f>
        <v>194100</v>
      </c>
    </row>
    <row r="136" spans="1:14" ht="76.5">
      <c r="A136" s="49"/>
      <c r="B136" s="50"/>
      <c r="C136" s="22" t="s">
        <v>276</v>
      </c>
      <c r="D136" s="23"/>
      <c r="E136" s="24"/>
      <c r="F136" s="25"/>
      <c r="G136" s="17">
        <v>62747</v>
      </c>
      <c r="H136" s="17"/>
      <c r="I136" s="17"/>
      <c r="J136" s="17"/>
      <c r="K136" s="17">
        <v>62747</v>
      </c>
      <c r="L136" s="17">
        <v>62747</v>
      </c>
      <c r="M136" s="17"/>
      <c r="N136" s="18">
        <f>G136</f>
        <v>62747</v>
      </c>
    </row>
    <row r="137" spans="1:14" ht="38.25">
      <c r="A137" s="49"/>
      <c r="B137" s="50"/>
      <c r="C137" s="22" t="s">
        <v>277</v>
      </c>
      <c r="D137" s="23"/>
      <c r="E137" s="24"/>
      <c r="F137" s="25"/>
      <c r="G137" s="17">
        <v>46000</v>
      </c>
      <c r="H137" s="17"/>
      <c r="I137" s="17"/>
      <c r="J137" s="17"/>
      <c r="K137" s="17">
        <v>46000</v>
      </c>
      <c r="L137" s="17">
        <v>46000</v>
      </c>
      <c r="M137" s="17"/>
      <c r="N137" s="18">
        <f aca="true" t="shared" si="17" ref="N137:N142">D137+G137</f>
        <v>46000</v>
      </c>
    </row>
    <row r="138" spans="1:14" ht="63.75">
      <c r="A138" s="49"/>
      <c r="B138" s="50"/>
      <c r="C138" s="22" t="s">
        <v>278</v>
      </c>
      <c r="D138" s="23"/>
      <c r="E138" s="24"/>
      <c r="F138" s="25"/>
      <c r="G138" s="17">
        <v>160000</v>
      </c>
      <c r="H138" s="17"/>
      <c r="I138" s="17"/>
      <c r="J138" s="17"/>
      <c r="K138" s="17">
        <v>160000</v>
      </c>
      <c r="L138" s="17">
        <v>160000</v>
      </c>
      <c r="M138" s="17"/>
      <c r="N138" s="18">
        <f t="shared" si="17"/>
        <v>160000</v>
      </c>
    </row>
    <row r="139" spans="1:14" ht="38.25">
      <c r="A139" s="49"/>
      <c r="B139" s="50"/>
      <c r="C139" s="22" t="s">
        <v>279</v>
      </c>
      <c r="D139" s="23"/>
      <c r="E139" s="24"/>
      <c r="F139" s="25"/>
      <c r="G139" s="17">
        <v>59239</v>
      </c>
      <c r="H139" s="17">
        <v>59239</v>
      </c>
      <c r="I139" s="17"/>
      <c r="J139" s="17"/>
      <c r="K139" s="17"/>
      <c r="L139" s="17"/>
      <c r="M139" s="17"/>
      <c r="N139" s="18">
        <f t="shared" si="17"/>
        <v>59239</v>
      </c>
    </row>
    <row r="140" spans="1:14" ht="63.75">
      <c r="A140" s="11" t="s">
        <v>280</v>
      </c>
      <c r="B140" s="50">
        <v>250382</v>
      </c>
      <c r="C140" s="51" t="s">
        <v>281</v>
      </c>
      <c r="D140" s="23">
        <v>95000</v>
      </c>
      <c r="E140" s="24"/>
      <c r="F140" s="25"/>
      <c r="G140" s="17"/>
      <c r="H140" s="17"/>
      <c r="I140" s="17"/>
      <c r="J140" s="17"/>
      <c r="K140" s="17"/>
      <c r="L140" s="17"/>
      <c r="M140" s="17"/>
      <c r="N140" s="18">
        <f t="shared" si="17"/>
        <v>95000</v>
      </c>
    </row>
    <row r="141" spans="1:14" ht="63.75">
      <c r="A141" s="11" t="s">
        <v>282</v>
      </c>
      <c r="B141" s="50">
        <v>250388</v>
      </c>
      <c r="C141" s="51" t="s">
        <v>283</v>
      </c>
      <c r="D141" s="52">
        <f>47000+38800</f>
        <v>85800</v>
      </c>
      <c r="E141" s="53"/>
      <c r="F141" s="54"/>
      <c r="G141" s="14"/>
      <c r="H141" s="14"/>
      <c r="I141" s="14"/>
      <c r="J141" s="14"/>
      <c r="K141" s="14"/>
      <c r="L141" s="14"/>
      <c r="M141" s="14"/>
      <c r="N141" s="15">
        <f t="shared" si="17"/>
        <v>85800</v>
      </c>
    </row>
    <row r="142" spans="1:14" ht="12.75">
      <c r="A142" s="55" t="s">
        <v>284</v>
      </c>
      <c r="B142" s="55"/>
      <c r="C142" s="55"/>
      <c r="D142" s="56">
        <f aca="true" t="shared" si="18" ref="D142:M142">D120+D113+D65+D39+D19+D13</f>
        <v>119483099.09000002</v>
      </c>
      <c r="E142" s="56">
        <f t="shared" si="18"/>
        <v>24966016.99</v>
      </c>
      <c r="F142" s="56">
        <f t="shared" si="18"/>
        <v>6428994.57</v>
      </c>
      <c r="G142" s="56">
        <f t="shared" si="18"/>
        <v>4352536.78</v>
      </c>
      <c r="H142" s="56">
        <f t="shared" si="18"/>
        <v>1372644.44</v>
      </c>
      <c r="I142" s="56">
        <f t="shared" si="18"/>
        <v>46480.19</v>
      </c>
      <c r="J142" s="56">
        <f t="shared" si="18"/>
        <v>67100</v>
      </c>
      <c r="K142" s="56">
        <f t="shared" si="18"/>
        <v>2979892.34</v>
      </c>
      <c r="L142" s="56">
        <f t="shared" si="18"/>
        <v>2261171</v>
      </c>
      <c r="M142" s="56">
        <f t="shared" si="18"/>
        <v>427013</v>
      </c>
      <c r="N142" s="56">
        <f t="shared" si="17"/>
        <v>123835635.87000002</v>
      </c>
    </row>
    <row r="143" ht="12.75">
      <c r="A143" s="57"/>
    </row>
    <row r="144" ht="12.75">
      <c r="A144" s="57"/>
    </row>
    <row r="145" spans="1:10" ht="12.75">
      <c r="A145" s="57"/>
      <c r="C145" s="58" t="s">
        <v>286</v>
      </c>
      <c r="J145" s="58" t="s">
        <v>285</v>
      </c>
    </row>
    <row r="146" ht="12.75">
      <c r="A146" s="57"/>
    </row>
    <row r="147" ht="12.75">
      <c r="A147" s="57"/>
    </row>
    <row r="148" ht="12.75">
      <c r="A148" s="57"/>
    </row>
    <row r="149" ht="12.75">
      <c r="A149" s="57"/>
    </row>
    <row r="150" ht="12.75">
      <c r="A150" s="57"/>
    </row>
    <row r="151" ht="12.75">
      <c r="A151" s="57"/>
    </row>
    <row r="152" ht="12.75">
      <c r="A152" s="57"/>
    </row>
    <row r="153" ht="12.75">
      <c r="A153" s="57"/>
    </row>
    <row r="154" ht="12.75">
      <c r="A154" s="57"/>
    </row>
    <row r="155" ht="12.75">
      <c r="A155" s="57"/>
    </row>
    <row r="156" ht="12.75">
      <c r="A156" s="57"/>
    </row>
    <row r="157" ht="12.75">
      <c r="A157" s="57"/>
    </row>
    <row r="158" ht="12.75">
      <c r="A158" s="57"/>
    </row>
    <row r="159" ht="12.75">
      <c r="A159" s="57"/>
    </row>
    <row r="160" ht="12.75">
      <c r="A160" s="57"/>
    </row>
    <row r="161" ht="12.75">
      <c r="A161" s="57"/>
    </row>
    <row r="162" ht="12.75">
      <c r="A162" s="57"/>
    </row>
    <row r="163" ht="12.75">
      <c r="A163" s="57"/>
    </row>
    <row r="164" ht="12.75">
      <c r="A164" s="57"/>
    </row>
    <row r="165" ht="12.75">
      <c r="A165" s="57"/>
    </row>
    <row r="166" ht="12.75">
      <c r="A166" s="57"/>
    </row>
    <row r="167" ht="12.75">
      <c r="A167" s="57"/>
    </row>
    <row r="168" ht="12.75">
      <c r="A168" s="57"/>
    </row>
    <row r="169" ht="12.75">
      <c r="A169" s="57"/>
    </row>
    <row r="170" ht="12.75">
      <c r="A170" s="57"/>
    </row>
    <row r="171" ht="12.75">
      <c r="A171" s="57"/>
    </row>
    <row r="172" ht="12.75">
      <c r="A172" s="57"/>
    </row>
    <row r="173" ht="12.75">
      <c r="A173" s="57"/>
    </row>
    <row r="174" ht="12.75">
      <c r="A174" s="57"/>
    </row>
    <row r="175" ht="12.75">
      <c r="A175" s="57"/>
    </row>
    <row r="176" ht="12.75">
      <c r="A176" s="57"/>
    </row>
    <row r="177" ht="12.75">
      <c r="A177" s="57"/>
    </row>
    <row r="178" ht="12.75">
      <c r="A178" s="57"/>
    </row>
    <row r="179" ht="12.75">
      <c r="A179" s="57"/>
    </row>
    <row r="180" ht="12.75">
      <c r="A180" s="57"/>
    </row>
    <row r="181" ht="12.75">
      <c r="A181" s="57"/>
    </row>
    <row r="182" ht="12.75">
      <c r="A182" s="57"/>
    </row>
    <row r="183" ht="12.75">
      <c r="A183" s="57"/>
    </row>
    <row r="184" ht="12.75">
      <c r="A184" s="57"/>
    </row>
    <row r="185" ht="12.75">
      <c r="A185" s="57"/>
    </row>
    <row r="186" ht="12.75">
      <c r="A186" s="57"/>
    </row>
    <row r="187" ht="12.75">
      <c r="A187" s="57"/>
    </row>
    <row r="188" ht="12.75">
      <c r="A188" s="57"/>
    </row>
    <row r="189" ht="12.75">
      <c r="A189" s="57"/>
    </row>
    <row r="190" ht="12.75">
      <c r="A190" s="57"/>
    </row>
    <row r="191" ht="12.75">
      <c r="A191" s="57"/>
    </row>
    <row r="192" ht="12.75">
      <c r="A192" s="57"/>
    </row>
    <row r="193" ht="12.75">
      <c r="A193" s="57"/>
    </row>
    <row r="194" ht="12.75">
      <c r="A194" s="57"/>
    </row>
    <row r="195" ht="12.75">
      <c r="A195" s="57"/>
    </row>
    <row r="196" ht="12.75">
      <c r="A196" s="57"/>
    </row>
    <row r="197" ht="12.75">
      <c r="A197" s="57"/>
    </row>
    <row r="198" ht="12.75">
      <c r="A198" s="57"/>
    </row>
    <row r="199" ht="12.75">
      <c r="A199" s="57"/>
    </row>
    <row r="200" ht="12.75">
      <c r="A200" s="57"/>
    </row>
    <row r="201" ht="12.75">
      <c r="A201" s="57"/>
    </row>
    <row r="202" ht="12.75">
      <c r="A202" s="57"/>
    </row>
    <row r="203" ht="12.75">
      <c r="A203" s="57"/>
    </row>
    <row r="204" ht="12.75">
      <c r="A204" s="57"/>
    </row>
    <row r="205" ht="12.75">
      <c r="A205" s="57"/>
    </row>
    <row r="206" ht="12.75">
      <c r="A206" s="57"/>
    </row>
    <row r="207" ht="12.75">
      <c r="A207" s="57"/>
    </row>
    <row r="208" ht="12.75">
      <c r="A208" s="57"/>
    </row>
  </sheetData>
  <sheetProtection selectLockedCells="1" selectUnlockedCells="1"/>
  <mergeCells count="21">
    <mergeCell ref="G9:G11"/>
    <mergeCell ref="E9:F9"/>
    <mergeCell ref="B5:N5"/>
    <mergeCell ref="B6:N6"/>
    <mergeCell ref="G8:M8"/>
    <mergeCell ref="N8:N11"/>
    <mergeCell ref="L9:M9"/>
    <mergeCell ref="I10:I11"/>
    <mergeCell ref="J10:J11"/>
    <mergeCell ref="L10:L11"/>
    <mergeCell ref="M10:M11"/>
    <mergeCell ref="H9:H11"/>
    <mergeCell ref="I9:J9"/>
    <mergeCell ref="K9:K11"/>
    <mergeCell ref="A8:A11"/>
    <mergeCell ref="B8:B11"/>
    <mergeCell ref="C8:C11"/>
    <mergeCell ref="D8:F8"/>
    <mergeCell ref="D9:D11"/>
    <mergeCell ref="E10:E11"/>
    <mergeCell ref="F10:F11"/>
  </mergeCells>
  <printOptions/>
  <pageMargins left="1.062992125984252" right="0.3937007874015748" top="0.2755905511811024" bottom="0.4724409448818898"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11rsedo01</cp:lastModifiedBy>
  <cp:lastPrinted>2012-12-28T09:02:04Z</cp:lastPrinted>
  <dcterms:modified xsi:type="dcterms:W3CDTF">2012-12-28T09:02:06Z</dcterms:modified>
  <cp:category/>
  <cp:version/>
  <cp:contentType/>
  <cp:contentStatus/>
</cp:coreProperties>
</file>